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ihonov_d\Documents\tempo\Петанк\турниры\Зимний тет\2024\"/>
    </mc:Choice>
  </mc:AlternateContent>
  <bookViews>
    <workbookView xWindow="-120" yWindow="-120" windowWidth="24240" windowHeight="13740" firstSheet="20" activeTab="25"/>
  </bookViews>
  <sheets>
    <sheet name="Томск М1" sheetId="1" r:id="rId1"/>
    <sheet name="Питер М1" sheetId="2" r:id="rId2"/>
    <sheet name="Питер М2" sheetId="5" r:id="rId3"/>
    <sheet name="Питер М3" sheetId="6" r:id="rId4"/>
    <sheet name="Питер Ж1" sheetId="7" r:id="rId5"/>
    <sheet name="Питер Ж2" sheetId="3" r:id="rId6"/>
    <sheet name="Питер Ж3" sheetId="4" r:id="rId7"/>
    <sheet name="Приозерск Ж1" sheetId="8" r:id="rId8"/>
    <sheet name="Приозерск Ж2" sheetId="9" r:id="rId9"/>
    <sheet name="Приозерск М1" sheetId="10" r:id="rId10"/>
    <sheet name="Приозерск М2" sheetId="11" r:id="rId11"/>
    <sheet name="Приозерск М3" sheetId="12" r:id="rId12"/>
    <sheet name="Москва М1" sheetId="15" r:id="rId13"/>
    <sheet name="Москва М2" sheetId="16" r:id="rId14"/>
    <sheet name="Москва М3" sheetId="18" r:id="rId15"/>
    <sheet name="Москва М4" sheetId="19" r:id="rId16"/>
    <sheet name="Москва М5" sheetId="23" r:id="rId17"/>
    <sheet name="Москва Ж1" sheetId="17" r:id="rId18"/>
    <sheet name="Москва Ж2" sheetId="20" r:id="rId19"/>
    <sheet name="Москва Ж3" sheetId="24" r:id="rId20"/>
    <sheet name="Десногорск М1" sheetId="21" r:id="rId21"/>
    <sheet name="Десногорск Ж1" sheetId="22" r:id="rId22"/>
    <sheet name="Калуга М1" sheetId="25" r:id="rId23"/>
    <sheet name="Калуга М2" sheetId="26" r:id="rId24"/>
    <sheet name="Калуга Ж1" sheetId="27" r:id="rId25"/>
    <sheet name="Финалисты муж" sheetId="28" r:id="rId26"/>
    <sheet name="Финалисты жен" sheetId="29" r:id="rId2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9" l="1"/>
  <c r="E30" i="29"/>
  <c r="C30" i="29"/>
  <c r="F29" i="29"/>
  <c r="E29" i="29"/>
  <c r="C29" i="29"/>
  <c r="F28" i="29"/>
  <c r="E28" i="29"/>
  <c r="C28" i="29"/>
  <c r="F43" i="28"/>
  <c r="E43" i="28"/>
  <c r="C43" i="28"/>
  <c r="F42" i="28"/>
  <c r="E42" i="28"/>
  <c r="C42" i="28"/>
  <c r="F41" i="28"/>
  <c r="E41" i="28"/>
  <c r="C41" i="28"/>
  <c r="F40" i="28"/>
  <c r="E40" i="28"/>
  <c r="C40" i="28"/>
  <c r="F39" i="28"/>
  <c r="E39" i="28"/>
  <c r="C39" i="28"/>
  <c r="F12" i="27"/>
  <c r="I4" i="25"/>
  <c r="H6" i="25"/>
  <c r="K12" i="26"/>
  <c r="F10" i="26"/>
  <c r="F8" i="26"/>
  <c r="J8" i="26"/>
  <c r="I12" i="27"/>
  <c r="F8" i="25"/>
  <c r="F9" i="25"/>
  <c r="H34" i="27"/>
  <c r="C22" i="25"/>
  <c r="G8" i="22"/>
  <c r="F10" i="15"/>
  <c r="H27" i="10"/>
  <c r="H30" i="18"/>
  <c r="C35" i="12"/>
  <c r="C31" i="25"/>
  <c r="G4" i="23"/>
  <c r="H6" i="20"/>
  <c r="I12" i="16"/>
  <c r="J10" i="11"/>
  <c r="H4" i="12"/>
  <c r="H35" i="25"/>
  <c r="J4" i="23"/>
  <c r="J4" i="18"/>
  <c r="H33" i="8"/>
  <c r="H22" i="11"/>
  <c r="I6" i="19"/>
  <c r="C26" i="26"/>
  <c r="K8" i="23"/>
  <c r="G4" i="21"/>
  <c r="G12" i="17"/>
  <c r="H12" i="26"/>
  <c r="I12" i="25"/>
  <c r="C22" i="27"/>
  <c r="H10" i="23"/>
  <c r="H35" i="20"/>
  <c r="C25" i="10"/>
  <c r="J8" i="15"/>
  <c r="I5" i="25"/>
  <c r="H18" i="25"/>
  <c r="K8" i="21"/>
  <c r="K8" i="11"/>
  <c r="C34" i="18"/>
  <c r="H32" i="26"/>
  <c r="J8" i="22"/>
  <c r="G8" i="18"/>
  <c r="J6" i="6"/>
  <c r="C25" i="12"/>
  <c r="C30" i="25"/>
  <c r="I14" i="21"/>
  <c r="J6" i="20"/>
  <c r="C48" i="9"/>
  <c r="H32" i="8"/>
  <c r="H35" i="11"/>
  <c r="H6" i="4"/>
  <c r="G10" i="2"/>
  <c r="G4" i="10"/>
  <c r="K4" i="12"/>
  <c r="C31" i="5"/>
  <c r="H4" i="19"/>
  <c r="G8" i="25"/>
  <c r="H34" i="25"/>
  <c r="G12" i="18"/>
  <c r="H4" i="17"/>
  <c r="F11" i="26"/>
  <c r="C23" i="25"/>
  <c r="H6" i="21"/>
  <c r="K12" i="10"/>
  <c r="H27" i="26"/>
  <c r="J14" i="21"/>
  <c r="C41" i="11"/>
  <c r="C27" i="26"/>
  <c r="I6" i="22"/>
  <c r="H41" i="10"/>
  <c r="C37" i="9"/>
  <c r="H47" i="9"/>
  <c r="L12" i="8"/>
  <c r="C42" i="15"/>
  <c r="H40" i="15"/>
  <c r="G12" i="3"/>
  <c r="G10" i="11"/>
  <c r="F10" i="9"/>
  <c r="C40" i="2"/>
  <c r="H27" i="8"/>
  <c r="H37" i="7"/>
  <c r="J8" i="2"/>
  <c r="C23" i="3"/>
  <c r="J6" i="3"/>
  <c r="K4" i="8"/>
  <c r="H34" i="9"/>
  <c r="C27" i="15"/>
  <c r="H25" i="2"/>
  <c r="J10" i="7"/>
  <c r="H37" i="9"/>
  <c r="C26" i="3"/>
  <c r="H42" i="8"/>
  <c r="C54" i="8"/>
  <c r="C23" i="19"/>
  <c r="H26" i="17"/>
  <c r="H14" i="2"/>
  <c r="C52" i="9"/>
  <c r="H22" i="12"/>
  <c r="C35" i="19"/>
  <c r="C18" i="19"/>
  <c r="H36" i="10"/>
  <c r="C21" i="15"/>
  <c r="K6" i="7"/>
  <c r="C30" i="11"/>
  <c r="C21" i="7"/>
  <c r="H24" i="9"/>
  <c r="I14" i="17"/>
  <c r="H30" i="7"/>
  <c r="C21" i="17"/>
  <c r="F6" i="26"/>
  <c r="G10" i="22"/>
  <c r="I8" i="6"/>
  <c r="F12" i="22"/>
  <c r="H23" i="8"/>
  <c r="G4" i="27"/>
  <c r="J4" i="27"/>
  <c r="K10" i="26"/>
  <c r="J6" i="26"/>
  <c r="J6" i="25"/>
  <c r="H10" i="25"/>
  <c r="G12" i="25"/>
  <c r="I6" i="27"/>
  <c r="G8" i="27"/>
  <c r="I13" i="27"/>
  <c r="H42" i="26"/>
  <c r="J6" i="24"/>
  <c r="I12" i="21"/>
  <c r="G8" i="15"/>
  <c r="F12" i="8"/>
  <c r="J10" i="17"/>
  <c r="C31" i="27"/>
  <c r="H12" i="24"/>
  <c r="F6" i="22"/>
  <c r="H36" i="11"/>
  <c r="F12" i="17"/>
  <c r="J4" i="20"/>
  <c r="H35" i="27"/>
  <c r="C35" i="25"/>
  <c r="J6" i="22"/>
  <c r="C52" i="8"/>
  <c r="G14" i="9"/>
  <c r="H12" i="18"/>
  <c r="I14" i="11"/>
  <c r="C18" i="25"/>
  <c r="H12" i="22"/>
  <c r="F8" i="20"/>
  <c r="I6" i="10"/>
  <c r="I8" i="25"/>
  <c r="I4" i="27"/>
  <c r="I7" i="27"/>
  <c r="C42" i="26"/>
  <c r="G12" i="22"/>
  <c r="F12" i="16"/>
  <c r="H35" i="10"/>
  <c r="C38" i="8"/>
  <c r="C23" i="27"/>
  <c r="I14" i="23"/>
  <c r="G10" i="18"/>
  <c r="H12" i="8"/>
  <c r="C23" i="8"/>
  <c r="C27" i="25"/>
  <c r="H10" i="21"/>
  <c r="H12" i="11"/>
  <c r="J8" i="18"/>
  <c r="F10" i="24"/>
  <c r="J6" i="21"/>
  <c r="H21" i="10"/>
  <c r="F8" i="18"/>
  <c r="H6" i="5"/>
  <c r="C36" i="12"/>
  <c r="J8" i="8"/>
  <c r="J8" i="7"/>
  <c r="I8" i="11"/>
  <c r="C22" i="6"/>
  <c r="J14" i="17"/>
  <c r="H31" i="18"/>
  <c r="H12" i="27"/>
  <c r="G13" i="25"/>
  <c r="J4" i="24"/>
  <c r="C22" i="12"/>
  <c r="H10" i="9"/>
  <c r="H7" i="25"/>
  <c r="I8" i="24"/>
  <c r="G8" i="16"/>
  <c r="G9" i="16" s="1"/>
  <c r="K10" i="8"/>
  <c r="H23" i="25"/>
  <c r="H4" i="21"/>
  <c r="H35" i="7"/>
  <c r="H20" i="26"/>
  <c r="K4" i="21"/>
  <c r="J4" i="7"/>
  <c r="H12" i="15"/>
  <c r="K16" i="8"/>
  <c r="H37" i="12"/>
  <c r="H32" i="2"/>
  <c r="H14" i="12"/>
  <c r="H15" i="12" s="1"/>
  <c r="J6" i="15"/>
  <c r="K10" i="9"/>
  <c r="J10" i="12"/>
  <c r="I4" i="8"/>
  <c r="H30" i="19"/>
  <c r="J10" i="15"/>
  <c r="K10" i="17"/>
  <c r="H12" i="9"/>
  <c r="J4" i="4"/>
  <c r="C33" i="9"/>
  <c r="H7" i="4"/>
  <c r="K6" i="11"/>
  <c r="H26" i="16"/>
  <c r="H32" i="7"/>
  <c r="H10" i="20"/>
  <c r="H10" i="19"/>
  <c r="J10" i="2"/>
  <c r="G4" i="3"/>
  <c r="C20" i="10"/>
  <c r="H4" i="3"/>
  <c r="C25" i="7"/>
  <c r="K4" i="2"/>
  <c r="H10" i="26"/>
  <c r="F10" i="25"/>
  <c r="F11" i="25" s="1"/>
  <c r="J10" i="27"/>
  <c r="J11" i="27" s="1"/>
  <c r="F12" i="26"/>
  <c r="J9" i="26"/>
  <c r="G12" i="23"/>
  <c r="H31" i="20"/>
  <c r="G10" i="16"/>
  <c r="C36" i="26"/>
  <c r="J10" i="21"/>
  <c r="G4" i="19"/>
  <c r="C35" i="27"/>
  <c r="G12" i="21"/>
  <c r="I12" i="4"/>
  <c r="C26" i="27"/>
  <c r="I4" i="22"/>
  <c r="K8" i="17"/>
  <c r="G4" i="26"/>
  <c r="H22" i="25"/>
  <c r="I8" i="19"/>
  <c r="J6" i="23"/>
  <c r="G10" i="15"/>
  <c r="H4" i="24"/>
  <c r="C37" i="10"/>
  <c r="H19" i="27"/>
  <c r="G8" i="20"/>
  <c r="G12" i="16"/>
  <c r="H32" i="10"/>
  <c r="H35" i="4"/>
  <c r="C26" i="16"/>
  <c r="H6" i="26"/>
  <c r="H26" i="27"/>
  <c r="F6" i="20"/>
  <c r="G5" i="27"/>
  <c r="H22" i="20"/>
  <c r="G8" i="24"/>
  <c r="H22" i="8"/>
  <c r="C32" i="15"/>
  <c r="H38" i="9"/>
  <c r="H35" i="15"/>
  <c r="C35" i="7"/>
  <c r="I4" i="20"/>
  <c r="H12" i="10"/>
  <c r="H35" i="16"/>
  <c r="G13" i="17"/>
  <c r="F14" i="15"/>
  <c r="C19" i="5"/>
  <c r="H18" i="4"/>
  <c r="I8" i="15"/>
  <c r="F14" i="17"/>
  <c r="H10" i="6"/>
  <c r="K9" i="17"/>
  <c r="G8" i="5"/>
  <c r="I6" i="12"/>
  <c r="I8" i="8"/>
  <c r="I9" i="19"/>
  <c r="F10" i="7"/>
  <c r="C35" i="18"/>
  <c r="J6" i="7"/>
  <c r="H22" i="16"/>
  <c r="G4" i="9"/>
  <c r="G4" i="5"/>
  <c r="F6" i="25"/>
  <c r="J14" i="23"/>
  <c r="I14" i="7"/>
  <c r="H35" i="26"/>
  <c r="K10" i="15"/>
  <c r="F7" i="26"/>
  <c r="J10" i="22"/>
  <c r="K4" i="10"/>
  <c r="H40" i="26"/>
  <c r="C21" i="10"/>
  <c r="H27" i="20"/>
  <c r="H4" i="15"/>
  <c r="C49" i="8"/>
  <c r="H36" i="7"/>
  <c r="F14" i="7"/>
  <c r="I12" i="17"/>
  <c r="H23" i="5"/>
  <c r="I8" i="10"/>
  <c r="C27" i="4"/>
  <c r="C35" i="2"/>
  <c r="H12" i="17"/>
  <c r="H49" i="9"/>
  <c r="G10" i="4"/>
  <c r="H40" i="7"/>
  <c r="J4" i="15"/>
  <c r="G10" i="12"/>
  <c r="F14" i="8"/>
  <c r="H36" i="17"/>
  <c r="G16" i="9"/>
  <c r="K12" i="12"/>
  <c r="J14" i="9"/>
  <c r="C34" i="5"/>
  <c r="H27" i="16"/>
  <c r="I8" i="5"/>
  <c r="G12" i="2"/>
  <c r="H28" i="9"/>
  <c r="K10" i="11"/>
  <c r="I9" i="8"/>
  <c r="H10" i="17"/>
  <c r="H12" i="3"/>
  <c r="G4" i="4"/>
  <c r="C20" i="17"/>
  <c r="H13" i="10"/>
  <c r="C19" i="6"/>
  <c r="H32" i="9"/>
  <c r="F6" i="10"/>
  <c r="J11" i="11"/>
  <c r="F11" i="15"/>
  <c r="C40" i="23"/>
  <c r="C25" i="21"/>
  <c r="I5" i="20"/>
  <c r="C30" i="22"/>
  <c r="C31" i="23"/>
  <c r="H21" i="21"/>
  <c r="C41" i="23"/>
  <c r="G11" i="18"/>
  <c r="J8" i="27"/>
  <c r="F13" i="26"/>
  <c r="F14" i="23"/>
  <c r="J4" i="19"/>
  <c r="J7" i="26"/>
  <c r="K12" i="23"/>
  <c r="C20" i="12"/>
  <c r="J4" i="22"/>
  <c r="H4" i="11"/>
  <c r="J9" i="27"/>
  <c r="I8" i="22"/>
  <c r="C32" i="11"/>
  <c r="F6" i="6"/>
  <c r="H35" i="12"/>
  <c r="J4" i="5"/>
  <c r="H31" i="2"/>
  <c r="H6" i="12"/>
  <c r="K12" i="9"/>
  <c r="F8" i="3"/>
  <c r="J4" i="3"/>
  <c r="G14" i="2"/>
  <c r="C32" i="8"/>
  <c r="G10" i="7"/>
  <c r="C37" i="12"/>
  <c r="K17" i="8"/>
  <c r="J6" i="12"/>
  <c r="I12" i="18"/>
  <c r="K12" i="11"/>
  <c r="H21" i="7"/>
  <c r="G10" i="17"/>
  <c r="G10" i="9"/>
  <c r="K13" i="12"/>
  <c r="H30" i="5"/>
  <c r="H31" i="4"/>
  <c r="F10" i="12"/>
  <c r="C21" i="2"/>
  <c r="H22" i="2"/>
  <c r="H35" i="18"/>
  <c r="C39" i="9"/>
  <c r="H42" i="10"/>
  <c r="H34" i="19"/>
  <c r="C32" i="2"/>
  <c r="I9" i="10"/>
  <c r="K11" i="9"/>
  <c r="C44" i="8"/>
  <c r="G14" i="17"/>
  <c r="F12" i="23"/>
  <c r="H37" i="15"/>
  <c r="J10" i="23"/>
  <c r="H40" i="10"/>
  <c r="H25" i="11"/>
  <c r="C26" i="4"/>
  <c r="C27" i="10"/>
  <c r="C31" i="10"/>
  <c r="C24" i="9"/>
  <c r="H26" i="5"/>
  <c r="I4" i="19"/>
  <c r="C35" i="4"/>
  <c r="H26" i="3"/>
  <c r="G13" i="3"/>
  <c r="C26" i="7"/>
  <c r="H5" i="11"/>
  <c r="H32" i="12"/>
  <c r="J9" i="7"/>
  <c r="F15" i="8"/>
  <c r="C26" i="19"/>
  <c r="F13" i="8"/>
  <c r="J9" i="8"/>
  <c r="H27" i="23"/>
  <c r="C21" i="21"/>
  <c r="C42" i="23"/>
  <c r="C31" i="24"/>
  <c r="H35" i="21"/>
  <c r="C26" i="20"/>
  <c r="G14" i="10"/>
  <c r="K5" i="12"/>
  <c r="J4" i="6"/>
  <c r="H35" i="17"/>
  <c r="I5" i="19"/>
  <c r="J10" i="26"/>
  <c r="I12" i="24"/>
  <c r="K12" i="8"/>
  <c r="G8" i="12"/>
  <c r="I9" i="25"/>
  <c r="H33" i="9"/>
  <c r="H18" i="19"/>
  <c r="H6" i="7"/>
  <c r="C29" i="8"/>
  <c r="H31" i="11"/>
  <c r="C19" i="4"/>
  <c r="C20" i="15"/>
  <c r="C31" i="19"/>
  <c r="H41" i="7"/>
  <c r="H35" i="6"/>
  <c r="K11" i="15"/>
  <c r="C26" i="21"/>
  <c r="H26" i="22"/>
  <c r="H30" i="24"/>
  <c r="J10" i="25"/>
  <c r="H10" i="24"/>
  <c r="J8" i="21"/>
  <c r="C26" i="12"/>
  <c r="H6" i="10"/>
  <c r="C21" i="11"/>
  <c r="H4" i="26"/>
  <c r="H5" i="26" s="1"/>
  <c r="G10" i="27"/>
  <c r="G11" i="27" s="1"/>
  <c r="J14" i="26"/>
  <c r="K4" i="26"/>
  <c r="K5" i="26" s="1"/>
  <c r="F9" i="26"/>
  <c r="F6" i="23"/>
  <c r="H4" i="10"/>
  <c r="H25" i="17"/>
  <c r="H22" i="26"/>
  <c r="I4" i="21"/>
  <c r="G4" i="11"/>
  <c r="C22" i="26"/>
  <c r="F6" i="21"/>
  <c r="L10" i="8"/>
  <c r="H41" i="26"/>
  <c r="G10" i="21"/>
  <c r="C53" i="9"/>
  <c r="H4" i="27"/>
  <c r="J8" i="24"/>
  <c r="C35" i="17"/>
  <c r="K11" i="26"/>
  <c r="F8" i="22"/>
  <c r="H6" i="15"/>
  <c r="G8" i="23"/>
  <c r="J8" i="16"/>
  <c r="J9" i="16" s="1"/>
  <c r="H37" i="26"/>
  <c r="H4" i="16"/>
  <c r="C47" i="9"/>
  <c r="C20" i="11"/>
  <c r="L8" i="9"/>
  <c r="H34" i="3"/>
  <c r="J6" i="27"/>
  <c r="J7" i="27" s="1"/>
  <c r="C37" i="26"/>
  <c r="C28" i="8"/>
  <c r="H18" i="27"/>
  <c r="J14" i="15"/>
  <c r="I6" i="23"/>
  <c r="H5" i="27"/>
  <c r="I12" i="20"/>
  <c r="G9" i="18"/>
  <c r="C25" i="15"/>
  <c r="H30" i="16"/>
  <c r="H31" i="12"/>
  <c r="C27" i="5"/>
  <c r="H30" i="4"/>
  <c r="H14" i="8"/>
  <c r="G14" i="8"/>
  <c r="F12" i="4"/>
  <c r="C34" i="9"/>
  <c r="G14" i="15"/>
  <c r="G15" i="15" s="1"/>
  <c r="G10" i="5"/>
  <c r="J10" i="19"/>
  <c r="F8" i="2"/>
  <c r="G12" i="6"/>
  <c r="H30" i="3"/>
  <c r="H35" i="2"/>
  <c r="H11" i="19"/>
  <c r="H37" i="10"/>
  <c r="C42" i="17"/>
  <c r="I12" i="10"/>
  <c r="K12" i="2"/>
  <c r="L14" i="8"/>
  <c r="F8" i="27"/>
  <c r="G8" i="21"/>
  <c r="H43" i="8"/>
  <c r="I6" i="24"/>
  <c r="H6" i="3"/>
  <c r="H7" i="3" s="1"/>
  <c r="H31" i="27"/>
  <c r="K6" i="21"/>
  <c r="J4" i="8"/>
  <c r="J5" i="8" s="1"/>
  <c r="F6" i="24"/>
  <c r="H22" i="10"/>
  <c r="J6" i="2"/>
  <c r="G4" i="16"/>
  <c r="C35" i="11"/>
  <c r="I12" i="12"/>
  <c r="F12" i="19"/>
  <c r="F13" i="19" s="1"/>
  <c r="L12" i="9"/>
  <c r="H19" i="19"/>
  <c r="C25" i="2"/>
  <c r="F12" i="11"/>
  <c r="H35" i="3"/>
  <c r="K4" i="15"/>
  <c r="F6" i="5"/>
  <c r="H22" i="3"/>
  <c r="J10" i="9"/>
  <c r="C26" i="2"/>
  <c r="J8" i="10"/>
  <c r="C25" i="11"/>
  <c r="J4" i="12"/>
  <c r="H37" i="17"/>
  <c r="C23" i="5"/>
  <c r="C32" i="9"/>
  <c r="C36" i="2"/>
  <c r="H26" i="4"/>
  <c r="H14" i="11"/>
  <c r="H31" i="19"/>
  <c r="H31" i="3"/>
  <c r="C30" i="16"/>
  <c r="C30" i="12"/>
  <c r="G11" i="16"/>
  <c r="K7" i="7"/>
  <c r="J10" i="8"/>
  <c r="J5" i="4"/>
  <c r="H22" i="5"/>
  <c r="K5" i="15"/>
  <c r="I6" i="11"/>
  <c r="H22" i="4"/>
  <c r="J7" i="6"/>
  <c r="C41" i="2"/>
  <c r="C25" i="23"/>
  <c r="H13" i="15"/>
  <c r="C18" i="24"/>
  <c r="H27" i="22"/>
  <c r="G11" i="4"/>
  <c r="C35" i="23"/>
  <c r="C23" i="22"/>
  <c r="F15" i="17"/>
  <c r="H6" i="27"/>
  <c r="H11" i="25"/>
  <c r="H6" i="22"/>
  <c r="H30" i="11"/>
  <c r="J5" i="27"/>
  <c r="K8" i="26"/>
  <c r="K9" i="26" s="1"/>
  <c r="J4" i="25"/>
  <c r="F10" i="27"/>
  <c r="H4" i="25"/>
  <c r="I6" i="26"/>
  <c r="I7" i="26" s="1"/>
  <c r="H25" i="26"/>
  <c r="I6" i="21"/>
  <c r="F16" i="9"/>
  <c r="J5" i="25"/>
  <c r="I4" i="24"/>
  <c r="G4" i="18"/>
  <c r="G5" i="18" s="1"/>
  <c r="H10" i="10"/>
  <c r="H6" i="24"/>
  <c r="C22" i="11"/>
  <c r="G12" i="19"/>
  <c r="F12" i="24"/>
  <c r="H6" i="11"/>
  <c r="F14" i="26"/>
  <c r="J15" i="26"/>
  <c r="H14" i="21"/>
  <c r="C20" i="2"/>
  <c r="C30" i="26"/>
  <c r="C41" i="15"/>
  <c r="H34" i="8"/>
  <c r="H19" i="18"/>
  <c r="F6" i="15"/>
  <c r="H12" i="23"/>
  <c r="H12" i="25"/>
  <c r="I8" i="27"/>
  <c r="G14" i="26"/>
  <c r="G8" i="26"/>
  <c r="G9" i="26" s="1"/>
  <c r="G12" i="27"/>
  <c r="G13" i="27" s="1"/>
  <c r="H26" i="25"/>
  <c r="I8" i="18"/>
  <c r="C53" i="8"/>
  <c r="H11" i="26"/>
  <c r="G10" i="23"/>
  <c r="F8" i="19"/>
  <c r="H25" i="15"/>
  <c r="K10" i="23"/>
  <c r="C19" i="20"/>
  <c r="J6" i="19"/>
  <c r="G4" i="24"/>
  <c r="H10" i="15"/>
  <c r="G10" i="25"/>
  <c r="G11" i="25" s="1"/>
  <c r="F11" i="27"/>
  <c r="J4" i="21"/>
  <c r="C30" i="20"/>
  <c r="H30" i="26"/>
  <c r="C19" i="18"/>
  <c r="H31" i="26"/>
  <c r="I8" i="17"/>
  <c r="I12" i="9"/>
  <c r="I4" i="23"/>
  <c r="C31" i="11"/>
  <c r="G10" i="20"/>
  <c r="H49" i="8"/>
  <c r="H30" i="15"/>
  <c r="C31" i="15"/>
  <c r="I12" i="26"/>
  <c r="H4" i="22"/>
  <c r="G12" i="11"/>
  <c r="G4" i="22"/>
  <c r="H37" i="8"/>
  <c r="H31" i="15"/>
  <c r="F8" i="23"/>
  <c r="F9" i="18"/>
  <c r="H38" i="8"/>
  <c r="C39" i="8"/>
  <c r="J4" i="16"/>
  <c r="J4" i="2"/>
  <c r="J5" i="2" s="1"/>
  <c r="F6" i="9"/>
  <c r="I4" i="2"/>
  <c r="I5" i="2" s="1"/>
  <c r="H47" i="8"/>
  <c r="C18" i="4"/>
  <c r="H42" i="9"/>
  <c r="G15" i="9"/>
  <c r="H42" i="12"/>
  <c r="H12" i="2"/>
  <c r="H13" i="2" s="1"/>
  <c r="K5" i="8"/>
  <c r="C20" i="7"/>
  <c r="H27" i="12"/>
  <c r="H41" i="2"/>
  <c r="C35" i="16"/>
  <c r="I5" i="8"/>
  <c r="H27" i="7"/>
  <c r="H18" i="6"/>
  <c r="F12" i="5"/>
  <c r="C40" i="17"/>
  <c r="H10" i="27"/>
  <c r="C35" i="26"/>
  <c r="I4" i="9"/>
  <c r="C19" i="27"/>
  <c r="L14" i="9"/>
  <c r="H27" i="11"/>
  <c r="H14" i="23"/>
  <c r="K6" i="10"/>
  <c r="K7" i="10" s="1"/>
  <c r="C18" i="27"/>
  <c r="I8" i="21"/>
  <c r="F6" i="2"/>
  <c r="J10" i="20"/>
  <c r="J10" i="5"/>
  <c r="H19" i="5"/>
  <c r="C26" i="17"/>
  <c r="F10" i="19"/>
  <c r="K10" i="12"/>
  <c r="G4" i="17"/>
  <c r="I8" i="2"/>
  <c r="C43" i="9"/>
  <c r="H12" i="16"/>
  <c r="H14" i="10"/>
  <c r="H15" i="10" s="1"/>
  <c r="G4" i="7"/>
  <c r="I13" i="9"/>
  <c r="H35" i="5"/>
  <c r="H42" i="11"/>
  <c r="I6" i="20"/>
  <c r="I7" i="20" s="1"/>
  <c r="H19" i="3"/>
  <c r="K4" i="11"/>
  <c r="H7" i="5"/>
  <c r="I14" i="8"/>
  <c r="I15" i="8" s="1"/>
  <c r="F6" i="11"/>
  <c r="K13" i="10"/>
  <c r="C27" i="8"/>
  <c r="G5" i="16"/>
  <c r="F8" i="9"/>
  <c r="C37" i="7"/>
  <c r="K6" i="2"/>
  <c r="H7" i="11"/>
  <c r="H34" i="6"/>
  <c r="C34" i="6"/>
  <c r="C40" i="7"/>
  <c r="H20" i="7"/>
  <c r="J5" i="16"/>
  <c r="K6" i="15"/>
  <c r="H27" i="15"/>
  <c r="G12" i="7"/>
  <c r="K8" i="12"/>
  <c r="I4" i="3"/>
  <c r="I5" i="3" s="1"/>
  <c r="H30" i="20"/>
  <c r="C27" i="24"/>
  <c r="C40" i="21"/>
  <c r="G9" i="5"/>
  <c r="C32" i="23"/>
  <c r="H20" i="21"/>
  <c r="C22" i="24"/>
  <c r="C37" i="21"/>
  <c r="H18" i="24"/>
  <c r="C41" i="21"/>
  <c r="I16" i="9"/>
  <c r="F6" i="16"/>
  <c r="I8" i="23"/>
  <c r="C22" i="9"/>
  <c r="G8" i="10"/>
  <c r="K8" i="9"/>
  <c r="H12" i="19"/>
  <c r="C34" i="20"/>
  <c r="I7" i="10"/>
  <c r="I6" i="25"/>
  <c r="F8" i="21"/>
  <c r="H29" i="9"/>
  <c r="I6" i="9"/>
  <c r="C22" i="10"/>
  <c r="K6" i="17"/>
  <c r="C34" i="16"/>
  <c r="H40" i="11"/>
  <c r="I7" i="9"/>
  <c r="J7" i="2"/>
  <c r="J8" i="9"/>
  <c r="J11" i="2"/>
  <c r="J11" i="8"/>
  <c r="I13" i="17"/>
  <c r="C34" i="22"/>
  <c r="F6" i="27"/>
  <c r="C34" i="25"/>
  <c r="C44" i="9"/>
  <c r="I6" i="18"/>
  <c r="J6" i="17"/>
  <c r="J6" i="18"/>
  <c r="J8" i="17"/>
  <c r="G14" i="23"/>
  <c r="J16" i="8"/>
  <c r="C31" i="16"/>
  <c r="G4" i="12"/>
  <c r="C22" i="5"/>
  <c r="H14" i="15"/>
  <c r="C21" i="12"/>
  <c r="H31" i="5"/>
  <c r="H19" i="16"/>
  <c r="F6" i="18"/>
  <c r="F10" i="2"/>
  <c r="H30" i="6"/>
  <c r="C19" i="3"/>
  <c r="I6" i="16"/>
  <c r="C42" i="7"/>
  <c r="H53" i="8"/>
  <c r="H35" i="19"/>
  <c r="J11" i="7"/>
  <c r="J17" i="8"/>
  <c r="H30" i="10"/>
  <c r="F9" i="19"/>
  <c r="F17" i="9"/>
  <c r="I4" i="7"/>
  <c r="K12" i="7"/>
  <c r="C38" i="9"/>
  <c r="H31" i="7"/>
  <c r="H12" i="6"/>
  <c r="H44" i="9"/>
  <c r="G9" i="15"/>
  <c r="G12" i="26"/>
  <c r="G12" i="20"/>
  <c r="H22" i="18"/>
  <c r="F10" i="23"/>
  <c r="C21" i="26"/>
  <c r="H21" i="11"/>
  <c r="F8" i="16"/>
  <c r="C37" i="8"/>
  <c r="H40" i="17"/>
  <c r="F6" i="12"/>
  <c r="K9" i="9"/>
  <c r="H12" i="12"/>
  <c r="J14" i="11"/>
  <c r="H23" i="16"/>
  <c r="C31" i="18"/>
  <c r="I4" i="6"/>
  <c r="I5" i="6" s="1"/>
  <c r="I12" i="7"/>
  <c r="I13" i="7" s="1"/>
  <c r="C31" i="17"/>
  <c r="G10" i="6"/>
  <c r="G11" i="6" s="1"/>
  <c r="H27" i="4"/>
  <c r="F11" i="7"/>
  <c r="K5" i="10"/>
  <c r="H35" i="22"/>
  <c r="F11" i="12"/>
  <c r="C26" i="22"/>
  <c r="H22" i="22"/>
  <c r="K7" i="15"/>
  <c r="C36" i="21"/>
  <c r="F12" i="7"/>
  <c r="J5" i="7"/>
  <c r="H42" i="17"/>
  <c r="L4" i="8"/>
  <c r="I9" i="15"/>
  <c r="C18" i="20"/>
  <c r="G15" i="2"/>
  <c r="H41" i="23"/>
  <c r="H25" i="21"/>
  <c r="K10" i="21"/>
  <c r="H30" i="25"/>
  <c r="H19" i="4"/>
  <c r="F6" i="4"/>
  <c r="H41" i="17"/>
  <c r="H23" i="4"/>
  <c r="J8" i="5"/>
  <c r="I9" i="11"/>
  <c r="C30" i="3"/>
  <c r="H4" i="2"/>
  <c r="C23" i="4"/>
  <c r="J5" i="12"/>
  <c r="I9" i="18"/>
  <c r="F13" i="5"/>
  <c r="J10" i="24"/>
  <c r="J8" i="3"/>
  <c r="G4" i="20"/>
  <c r="C34" i="4"/>
  <c r="H52" i="9"/>
  <c r="I4" i="11"/>
  <c r="H5" i="12"/>
  <c r="K8" i="10"/>
  <c r="J6" i="4"/>
  <c r="H22" i="17"/>
  <c r="J7" i="4"/>
  <c r="H5" i="25"/>
  <c r="H10" i="8"/>
  <c r="K4" i="23"/>
  <c r="H36" i="26"/>
  <c r="F16" i="8"/>
  <c r="J8" i="19"/>
  <c r="C41" i="17"/>
  <c r="C23" i="6"/>
  <c r="C23" i="20"/>
  <c r="H20" i="17"/>
  <c r="H5" i="17"/>
  <c r="C26" i="11"/>
  <c r="I4" i="16"/>
  <c r="H34" i="5"/>
  <c r="K4" i="9"/>
  <c r="H19" i="20"/>
  <c r="C33" i="8"/>
  <c r="H31" i="10"/>
  <c r="G5" i="11"/>
  <c r="C27" i="7"/>
  <c r="I4" i="10"/>
  <c r="H31" i="24"/>
  <c r="H40" i="23"/>
  <c r="C20" i="23"/>
  <c r="I9" i="2"/>
  <c r="C30" i="21"/>
  <c r="J5" i="6"/>
  <c r="G12" i="24"/>
  <c r="F10" i="18"/>
  <c r="H36" i="12"/>
  <c r="J14" i="12"/>
  <c r="H23" i="20"/>
  <c r="I14" i="2"/>
  <c r="J5" i="5"/>
  <c r="H27" i="6"/>
  <c r="C23" i="18"/>
  <c r="J11" i="9"/>
  <c r="C22" i="19"/>
  <c r="H27" i="2"/>
  <c r="C35" i="24"/>
  <c r="I15" i="2"/>
  <c r="H26" i="21"/>
  <c r="J8" i="25"/>
  <c r="F13" i="27"/>
  <c r="J4" i="17"/>
  <c r="I6" i="2"/>
  <c r="H37" i="11"/>
  <c r="H6" i="8"/>
  <c r="F14" i="9"/>
  <c r="C40" i="15"/>
  <c r="H10" i="7"/>
  <c r="I9" i="17"/>
  <c r="C41" i="10"/>
  <c r="H32" i="11"/>
  <c r="K10" i="2"/>
  <c r="J7" i="20"/>
  <c r="C35" i="21"/>
  <c r="G5" i="10"/>
  <c r="H15" i="11"/>
  <c r="H10" i="3"/>
  <c r="H25" i="23"/>
  <c r="H40" i="21"/>
  <c r="J9" i="9"/>
  <c r="F11" i="24"/>
  <c r="H5" i="22"/>
  <c r="F7" i="16"/>
  <c r="K9" i="21"/>
  <c r="I9" i="22"/>
  <c r="F11" i="19"/>
  <c r="J11" i="21"/>
  <c r="J7" i="21"/>
  <c r="F9" i="23"/>
  <c r="K5" i="11"/>
  <c r="F9" i="9"/>
  <c r="G9" i="24"/>
  <c r="I9" i="21"/>
  <c r="G9" i="21"/>
  <c r="J5" i="24"/>
  <c r="J9" i="22"/>
  <c r="H7" i="21"/>
  <c r="F7" i="21"/>
  <c r="F15" i="23"/>
  <c r="K7" i="21"/>
  <c r="F7" i="23"/>
  <c r="I13" i="20"/>
  <c r="K5" i="23"/>
  <c r="H11" i="23"/>
  <c r="H11" i="20"/>
  <c r="H13" i="23"/>
  <c r="K11" i="21"/>
  <c r="F7" i="24"/>
  <c r="C35" i="22"/>
  <c r="I5" i="22"/>
  <c r="I15" i="23"/>
  <c r="I7" i="22"/>
  <c r="I5" i="24"/>
  <c r="H5" i="24"/>
  <c r="K9" i="23"/>
  <c r="I7" i="21"/>
  <c r="J5" i="22"/>
  <c r="J9" i="21"/>
  <c r="G11" i="23"/>
  <c r="I9" i="24"/>
  <c r="K11" i="23"/>
  <c r="G5" i="21"/>
  <c r="J9" i="18"/>
  <c r="G15" i="23"/>
  <c r="J11" i="12"/>
  <c r="H14" i="7"/>
  <c r="I8" i="26"/>
  <c r="I9" i="26" s="1"/>
  <c r="F12" i="20"/>
  <c r="C31" i="7"/>
  <c r="H4" i="5"/>
  <c r="H25" i="12"/>
  <c r="H36" i="2"/>
  <c r="L8" i="8"/>
  <c r="K10" i="7"/>
  <c r="C34" i="27"/>
  <c r="H6" i="19"/>
  <c r="H10" i="22"/>
  <c r="H40" i="2"/>
  <c r="H4" i="7"/>
  <c r="J6" i="8"/>
  <c r="G10" i="19"/>
  <c r="G11" i="19" s="1"/>
  <c r="H12" i="4"/>
  <c r="H13" i="4" s="1"/>
  <c r="J6" i="11"/>
  <c r="C30" i="17"/>
  <c r="H42" i="2"/>
  <c r="J8" i="4"/>
  <c r="H5" i="3"/>
  <c r="C27" i="23"/>
  <c r="C23" i="24"/>
  <c r="I14" i="26"/>
  <c r="C26" i="18"/>
  <c r="H30" i="27"/>
  <c r="I4" i="17"/>
  <c r="C27" i="27"/>
  <c r="C32" i="17"/>
  <c r="F7" i="25"/>
  <c r="H10" i="18"/>
  <c r="F12" i="15"/>
  <c r="H43" i="9"/>
  <c r="G4" i="15"/>
  <c r="G5" i="15" s="1"/>
  <c r="F8" i="12"/>
  <c r="C34" i="8"/>
  <c r="C47" i="8"/>
  <c r="H20" i="2"/>
  <c r="H26" i="6"/>
  <c r="C42" i="12"/>
  <c r="H48" i="9"/>
  <c r="H26" i="2"/>
  <c r="C37" i="11"/>
  <c r="J4" i="10"/>
  <c r="G8" i="17"/>
  <c r="K8" i="8"/>
  <c r="H13" i="11"/>
  <c r="C35" i="6"/>
  <c r="H27" i="18"/>
  <c r="H42" i="15"/>
  <c r="H36" i="15"/>
  <c r="I12" i="11"/>
  <c r="H18" i="18"/>
  <c r="J9" i="2"/>
  <c r="C23" i="9"/>
  <c r="J5" i="15"/>
  <c r="H5" i="10"/>
  <c r="G10" i="26"/>
  <c r="H18" i="20"/>
  <c r="G8" i="8"/>
  <c r="G9" i="8" s="1"/>
  <c r="C22" i="20"/>
  <c r="C27" i="18"/>
  <c r="C36" i="10"/>
  <c r="J11" i="5"/>
  <c r="H30" i="2"/>
  <c r="I12" i="8"/>
  <c r="J14" i="8"/>
  <c r="H16" i="8"/>
  <c r="I6" i="7"/>
  <c r="H4" i="6"/>
  <c r="C27" i="2"/>
  <c r="G13" i="11"/>
  <c r="C49" i="9"/>
  <c r="J8" i="6"/>
  <c r="H26" i="19"/>
  <c r="H34" i="20"/>
  <c r="H27" i="17"/>
  <c r="H18" i="5"/>
  <c r="C30" i="19"/>
  <c r="F7" i="9"/>
  <c r="H31" i="21"/>
  <c r="J7" i="11"/>
  <c r="H5" i="6"/>
  <c r="C31" i="21"/>
  <c r="G5" i="5"/>
  <c r="G11" i="20"/>
  <c r="H23" i="3"/>
  <c r="H6" i="2"/>
  <c r="C18" i="18"/>
  <c r="C26" i="6"/>
  <c r="C36" i="11"/>
  <c r="C31" i="20"/>
  <c r="C22" i="23"/>
  <c r="H19" i="22"/>
  <c r="H14" i="26"/>
  <c r="G8" i="11"/>
  <c r="K12" i="21"/>
  <c r="H20" i="15"/>
  <c r="F8" i="5"/>
  <c r="H37" i="2"/>
  <c r="C28" i="9"/>
  <c r="I14" i="9"/>
  <c r="J8" i="12"/>
  <c r="H21" i="17"/>
  <c r="I12" i="5"/>
  <c r="G5" i="19"/>
  <c r="C26" i="24"/>
  <c r="H22" i="24"/>
  <c r="C19" i="22"/>
  <c r="I14" i="15"/>
  <c r="H23" i="27"/>
  <c r="K6" i="9"/>
  <c r="C27" i="17"/>
  <c r="H29" i="8"/>
  <c r="J14" i="10"/>
  <c r="G8" i="9"/>
  <c r="H22" i="15"/>
  <c r="C36" i="7"/>
  <c r="C22" i="2"/>
  <c r="H13" i="19"/>
  <c r="C41" i="7"/>
  <c r="H21" i="26"/>
  <c r="G10" i="8"/>
  <c r="F10" i="20"/>
  <c r="I12" i="22"/>
  <c r="I13" i="22" s="1"/>
  <c r="H13" i="27"/>
  <c r="I8" i="16"/>
  <c r="K12" i="15"/>
  <c r="K13" i="15" s="1"/>
  <c r="I5" i="17"/>
  <c r="G14" i="7"/>
  <c r="G15" i="7" s="1"/>
  <c r="H4" i="8"/>
  <c r="F10" i="4"/>
  <c r="C18" i="16"/>
  <c r="L15" i="9"/>
  <c r="G11" i="11"/>
  <c r="C42" i="10"/>
  <c r="H22" i="7"/>
  <c r="I13" i="12"/>
  <c r="C23" i="16"/>
  <c r="H21" i="2"/>
  <c r="H27" i="21"/>
  <c r="C32" i="21"/>
  <c r="C22" i="22"/>
  <c r="C19" i="24"/>
  <c r="H30" i="21"/>
  <c r="H6" i="18"/>
  <c r="I8" i="12"/>
  <c r="I9" i="12" s="1"/>
  <c r="I4" i="12"/>
  <c r="H27" i="19"/>
  <c r="H52" i="8"/>
  <c r="H41" i="12"/>
  <c r="F8" i="11"/>
  <c r="G12" i="10"/>
  <c r="G13" i="19"/>
  <c r="F7" i="2"/>
  <c r="C37" i="2"/>
  <c r="F9" i="2"/>
  <c r="H31" i="22"/>
  <c r="C21" i="23"/>
  <c r="F11" i="20"/>
  <c r="F9" i="20"/>
  <c r="H22" i="27"/>
  <c r="H12" i="21"/>
  <c r="G10" i="10"/>
  <c r="H26" i="20"/>
  <c r="C40" i="12"/>
  <c r="C30" i="4"/>
  <c r="G8" i="19"/>
  <c r="H6" i="9"/>
  <c r="I14" i="10"/>
  <c r="H12" i="7"/>
  <c r="H20" i="11"/>
  <c r="G5" i="17"/>
  <c r="K7" i="11"/>
  <c r="K10" i="10"/>
  <c r="G11" i="15"/>
  <c r="C18" i="22"/>
  <c r="H7" i="2"/>
  <c r="H32" i="23"/>
  <c r="I7" i="11"/>
  <c r="K11" i="7"/>
  <c r="C30" i="2"/>
  <c r="I13" i="16"/>
  <c r="G5" i="20"/>
  <c r="H34" i="22"/>
  <c r="J11" i="15"/>
  <c r="J11" i="24"/>
  <c r="G9" i="23"/>
  <c r="F9" i="22"/>
  <c r="H13" i="21"/>
  <c r="G11" i="21"/>
  <c r="H11" i="22"/>
  <c r="I9" i="5"/>
  <c r="H11" i="21"/>
  <c r="G5" i="23"/>
  <c r="F15" i="9"/>
  <c r="H30" i="12"/>
  <c r="K6" i="23"/>
  <c r="K7" i="23" s="1"/>
  <c r="H24" i="8"/>
  <c r="C36" i="17"/>
  <c r="C30" i="7"/>
  <c r="J11" i="17"/>
  <c r="J4" i="11"/>
  <c r="J5" i="11" s="1"/>
  <c r="C34" i="19"/>
  <c r="H6" i="6"/>
  <c r="H7" i="6" s="1"/>
  <c r="C27" i="9"/>
  <c r="C25" i="26"/>
  <c r="G14" i="12"/>
  <c r="J10" i="10"/>
  <c r="J11" i="10" s="1"/>
  <c r="H28" i="8"/>
  <c r="H6" i="16"/>
  <c r="J10" i="4"/>
  <c r="J11" i="4" s="1"/>
  <c r="H5" i="5"/>
  <c r="H7" i="19"/>
  <c r="C25" i="17"/>
  <c r="F10" i="5"/>
  <c r="F11" i="5" s="1"/>
  <c r="H26" i="7"/>
  <c r="I15" i="17"/>
  <c r="H37" i="21"/>
  <c r="H18" i="22"/>
  <c r="G4" i="25"/>
  <c r="H4" i="18"/>
  <c r="H5" i="18" s="1"/>
  <c r="C19" i="25"/>
  <c r="H10" i="11"/>
  <c r="H11" i="11" s="1"/>
  <c r="H31" i="25"/>
  <c r="K12" i="17"/>
  <c r="K13" i="17" s="1"/>
  <c r="H27" i="27"/>
  <c r="K8" i="15"/>
  <c r="I16" i="8"/>
  <c r="J10" i="6"/>
  <c r="J11" i="6" s="1"/>
  <c r="I4" i="5"/>
  <c r="H34" i="4"/>
  <c r="I12" i="15"/>
  <c r="I13" i="15" s="1"/>
  <c r="F14" i="10"/>
  <c r="H4" i="9"/>
  <c r="C22" i="8"/>
  <c r="I12" i="6"/>
  <c r="C18" i="6"/>
  <c r="K13" i="9"/>
  <c r="G8" i="4"/>
  <c r="G12" i="12"/>
  <c r="C27" i="11"/>
  <c r="K6" i="8"/>
  <c r="K7" i="8" s="1"/>
  <c r="C30" i="15"/>
  <c r="C35" i="3"/>
  <c r="H26" i="12"/>
  <c r="F12" i="2"/>
  <c r="H32" i="15"/>
  <c r="C30" i="5"/>
  <c r="G8" i="7"/>
  <c r="C32" i="7"/>
  <c r="K11" i="8"/>
  <c r="H18" i="3"/>
  <c r="F13" i="16"/>
  <c r="I14" i="12"/>
  <c r="C31" i="26"/>
  <c r="K13" i="26"/>
  <c r="H12" i="20"/>
  <c r="H4" i="20"/>
  <c r="F12" i="10"/>
  <c r="H32" i="17"/>
  <c r="H26" i="18"/>
  <c r="H10" i="4"/>
  <c r="C42" i="8"/>
  <c r="C41" i="12"/>
  <c r="C27" i="6"/>
  <c r="I8" i="7"/>
  <c r="H22" i="6"/>
  <c r="L13" i="8"/>
  <c r="J9" i="10"/>
  <c r="I7" i="12"/>
  <c r="H31" i="6"/>
  <c r="J6" i="10"/>
  <c r="J11" i="19"/>
  <c r="G12" i="4"/>
  <c r="C34" i="3"/>
  <c r="F12" i="6"/>
  <c r="F13" i="6" s="1"/>
  <c r="G9" i="7"/>
  <c r="H32" i="21"/>
  <c r="H27" i="24"/>
  <c r="G11" i="5"/>
  <c r="K13" i="7"/>
  <c r="C30" i="23"/>
  <c r="H13" i="17"/>
  <c r="C29" i="9"/>
  <c r="F15" i="10"/>
  <c r="J7" i="15"/>
  <c r="J6" i="16"/>
  <c r="J7" i="16" s="1"/>
  <c r="I8" i="20"/>
  <c r="I9" i="20" s="1"/>
  <c r="F14" i="12"/>
  <c r="H23" i="9"/>
  <c r="I6" i="3"/>
  <c r="I7" i="3" s="1"/>
  <c r="K5" i="2"/>
  <c r="C20" i="26"/>
  <c r="I12" i="23"/>
  <c r="I13" i="23" s="1"/>
  <c r="H6" i="17"/>
  <c r="H7" i="17" s="1"/>
  <c r="I6" i="6"/>
  <c r="I7" i="6" s="1"/>
  <c r="H22" i="19"/>
  <c r="H40" i="12"/>
  <c r="F10" i="6"/>
  <c r="F11" i="6" s="1"/>
  <c r="H30" i="17"/>
  <c r="H10" i="5"/>
  <c r="J8" i="23"/>
  <c r="F12" i="18"/>
  <c r="F13" i="18" s="1"/>
  <c r="F10" i="16"/>
  <c r="K13" i="11"/>
  <c r="C26" i="5"/>
  <c r="G17" i="9"/>
  <c r="C26" i="23"/>
  <c r="J7" i="12"/>
  <c r="H11" i="6"/>
  <c r="G8" i="3"/>
  <c r="H34" i="24"/>
  <c r="C22" i="7"/>
  <c r="G12" i="8"/>
  <c r="F8" i="15"/>
  <c r="F10" i="11"/>
  <c r="G8" i="2"/>
  <c r="H27" i="5"/>
  <c r="H20" i="23"/>
  <c r="I13" i="11"/>
  <c r="H21" i="12"/>
  <c r="L6" i="8"/>
  <c r="H11" i="15"/>
  <c r="G11" i="2"/>
  <c r="C42" i="9"/>
  <c r="K6" i="26"/>
  <c r="I9" i="27"/>
  <c r="C35" i="20"/>
  <c r="G9" i="20"/>
  <c r="C18" i="5"/>
  <c r="I12" i="2"/>
  <c r="J14" i="2"/>
  <c r="I7" i="19"/>
  <c r="C32" i="10"/>
  <c r="H20" i="10"/>
  <c r="L9" i="8"/>
  <c r="H5" i="16"/>
  <c r="H26" i="23"/>
  <c r="H16" i="9"/>
  <c r="K4" i="7"/>
  <c r="J8" i="11"/>
  <c r="H11" i="10"/>
  <c r="G13" i="6"/>
  <c r="I8" i="9"/>
  <c r="I9" i="9"/>
  <c r="C27" i="21"/>
  <c r="H15" i="8"/>
  <c r="F10" i="21"/>
  <c r="C30" i="27"/>
  <c r="F10" i="17"/>
  <c r="F8" i="4"/>
  <c r="H20" i="12"/>
  <c r="C31" i="3"/>
  <c r="H23" i="6"/>
  <c r="H13" i="3"/>
  <c r="F13" i="20"/>
  <c r="H19" i="24"/>
  <c r="C20" i="21"/>
  <c r="H41" i="21"/>
  <c r="H23" i="19"/>
  <c r="H37" i="23"/>
  <c r="F9" i="21"/>
  <c r="F13" i="24"/>
  <c r="H15" i="21"/>
  <c r="G9" i="22"/>
  <c r="F7" i="20"/>
  <c r="J15" i="9"/>
  <c r="J7" i="23"/>
  <c r="I15" i="12"/>
  <c r="H5" i="21"/>
  <c r="G13" i="16"/>
  <c r="F7" i="22"/>
  <c r="F7" i="10"/>
  <c r="G13" i="24"/>
  <c r="F13" i="23"/>
  <c r="L9" i="9"/>
  <c r="G13" i="2"/>
  <c r="C40" i="11"/>
  <c r="H6" i="23"/>
  <c r="J10" i="18"/>
  <c r="J11" i="18" s="1"/>
  <c r="J16" i="9"/>
  <c r="J17" i="9" s="1"/>
  <c r="C30" i="24"/>
  <c r="H19" i="25"/>
  <c r="C26" i="10"/>
  <c r="J15" i="15"/>
  <c r="G11" i="8"/>
  <c r="C27" i="16"/>
  <c r="H36" i="21"/>
  <c r="H31" i="23"/>
  <c r="I15" i="21"/>
  <c r="G9" i="9"/>
  <c r="H15" i="23"/>
  <c r="I5" i="23"/>
  <c r="J5" i="20"/>
  <c r="I4" i="15"/>
  <c r="I5" i="15" s="1"/>
  <c r="C35" i="10"/>
  <c r="J7" i="25"/>
  <c r="J6" i="5"/>
  <c r="H22" i="9"/>
  <c r="C27" i="22"/>
  <c r="I4" i="18"/>
  <c r="H34" i="18"/>
  <c r="G10" i="3"/>
  <c r="C30" i="6"/>
  <c r="L13" i="9"/>
  <c r="H44" i="8"/>
  <c r="C22" i="15"/>
  <c r="H26" i="15"/>
  <c r="K6" i="12"/>
  <c r="H26" i="26"/>
  <c r="I6" i="4"/>
  <c r="I7" i="4" s="1"/>
  <c r="C36" i="15"/>
  <c r="C27" i="19"/>
  <c r="C31" i="2"/>
  <c r="G11" i="12"/>
  <c r="H42" i="23"/>
  <c r="H34" i="16"/>
  <c r="C22" i="18"/>
  <c r="K7" i="12"/>
  <c r="H21" i="23"/>
  <c r="H13" i="25"/>
  <c r="C30" i="18"/>
  <c r="C26" i="15"/>
  <c r="F13" i="4"/>
  <c r="G4" i="2"/>
  <c r="I6" i="5"/>
  <c r="J11" i="20"/>
  <c r="G9" i="17"/>
  <c r="H27" i="25"/>
  <c r="G16" i="8"/>
  <c r="G15" i="8"/>
  <c r="H39" i="9"/>
  <c r="L4" i="9"/>
  <c r="L5" i="9" s="1"/>
  <c r="F12" i="25"/>
  <c r="C41" i="26"/>
  <c r="C24" i="8"/>
  <c r="C32" i="12"/>
  <c r="H14" i="9"/>
  <c r="J4" i="9"/>
  <c r="H10" i="12"/>
  <c r="K4" i="17"/>
  <c r="C37" i="17"/>
  <c r="F13" i="17"/>
  <c r="I6" i="8"/>
  <c r="I7" i="8" s="1"/>
  <c r="K11" i="17"/>
  <c r="G5" i="3"/>
  <c r="C31" i="22"/>
  <c r="G14" i="21"/>
  <c r="G15" i="21" s="1"/>
  <c r="C27" i="12"/>
  <c r="F6" i="8"/>
  <c r="H54" i="9"/>
  <c r="I13" i="4"/>
  <c r="G12" i="5"/>
  <c r="C40" i="10"/>
  <c r="K7" i="17"/>
  <c r="H22" i="23"/>
  <c r="J10" i="16"/>
  <c r="F12" i="21"/>
  <c r="J14" i="7"/>
  <c r="C54" i="9"/>
  <c r="H12" i="5"/>
  <c r="F6" i="7"/>
  <c r="F8" i="6"/>
  <c r="C31" i="6"/>
  <c r="C34" i="24"/>
  <c r="H35" i="23"/>
  <c r="G13" i="7"/>
  <c r="H5" i="15"/>
  <c r="I5" i="16"/>
  <c r="K13" i="23"/>
  <c r="J5" i="23"/>
  <c r="I13" i="10"/>
  <c r="K13" i="21"/>
  <c r="J11" i="23"/>
  <c r="J15" i="23"/>
  <c r="F13" i="21"/>
  <c r="F11" i="23"/>
  <c r="H13" i="22"/>
  <c r="H13" i="24"/>
  <c r="J9" i="23"/>
  <c r="K5" i="21"/>
  <c r="F11" i="21"/>
  <c r="H13" i="9"/>
  <c r="H15" i="15"/>
  <c r="H35" i="24"/>
  <c r="H30" i="22"/>
  <c r="H31" i="16"/>
  <c r="J7" i="18"/>
  <c r="F13" i="11"/>
  <c r="H7" i="22"/>
  <c r="H13" i="18"/>
  <c r="H7" i="24"/>
  <c r="F9" i="5"/>
  <c r="J7" i="24"/>
  <c r="G13" i="22"/>
  <c r="F15" i="7"/>
  <c r="H7" i="23"/>
  <c r="G13" i="23"/>
  <c r="I5" i="21"/>
  <c r="C22" i="17"/>
  <c r="H14" i="17"/>
  <c r="H15" i="17" s="1"/>
  <c r="G12" i="9"/>
  <c r="G13" i="9" s="1"/>
  <c r="G4" i="6"/>
  <c r="G5" i="6" s="1"/>
  <c r="H19" i="6"/>
  <c r="H31" i="17"/>
  <c r="I17" i="9"/>
  <c r="C22" i="16"/>
  <c r="G8" i="6"/>
  <c r="G9" i="6" s="1"/>
  <c r="H30" i="23"/>
  <c r="C48" i="8"/>
  <c r="G15" i="26"/>
  <c r="K8" i="7"/>
  <c r="C27" i="20"/>
  <c r="H23" i="18"/>
  <c r="G11" i="3"/>
  <c r="I12" i="3"/>
  <c r="H13" i="8"/>
  <c r="G9" i="12"/>
  <c r="F6" i="17"/>
  <c r="I9" i="6"/>
  <c r="I4" i="4"/>
  <c r="K9" i="11"/>
  <c r="H5" i="19"/>
  <c r="G15" i="17"/>
  <c r="H4" i="4"/>
  <c r="G4" i="8"/>
  <c r="F11" i="9"/>
  <c r="H42" i="21"/>
  <c r="G10" i="24"/>
  <c r="G11" i="24" s="1"/>
  <c r="H13" i="12"/>
  <c r="H11" i="4"/>
  <c r="H5" i="2"/>
  <c r="H22" i="21"/>
  <c r="G11" i="22"/>
  <c r="I13" i="24"/>
  <c r="J5" i="21"/>
  <c r="I9" i="23"/>
  <c r="G5" i="4"/>
  <c r="I7" i="24"/>
  <c r="J15" i="21"/>
  <c r="I13" i="21"/>
  <c r="F8" i="24"/>
  <c r="F9" i="24" s="1"/>
  <c r="J10" i="3"/>
  <c r="J11" i="3" s="1"/>
  <c r="C19" i="19"/>
  <c r="C42" i="2"/>
  <c r="H41" i="15"/>
  <c r="H26" i="24"/>
  <c r="F10" i="22"/>
  <c r="F11" i="22" s="1"/>
  <c r="C26" i="25"/>
  <c r="H53" i="9"/>
  <c r="L10" i="9"/>
  <c r="C43" i="8"/>
  <c r="H48" i="8"/>
  <c r="J7" i="19"/>
  <c r="F8" i="17"/>
  <c r="F9" i="17" s="1"/>
  <c r="H7" i="16"/>
  <c r="C40" i="26"/>
  <c r="F10" i="10"/>
  <c r="F11" i="10" s="1"/>
  <c r="H26" i="10"/>
  <c r="I15" i="11"/>
  <c r="F12" i="3"/>
  <c r="H23" i="24"/>
  <c r="J5" i="18"/>
  <c r="H27" i="3"/>
  <c r="J9" i="6"/>
  <c r="H23" i="22"/>
  <c r="J4" i="26"/>
  <c r="I6" i="17"/>
  <c r="H26" i="11"/>
  <c r="H21" i="15"/>
  <c r="H10" i="16"/>
  <c r="C31" i="4"/>
  <c r="H36" i="23"/>
  <c r="C42" i="21"/>
  <c r="H27" i="9"/>
  <c r="C19" i="16"/>
  <c r="F6" i="3"/>
  <c r="F8" i="7"/>
  <c r="G15" i="12"/>
  <c r="G12" i="15"/>
  <c r="G13" i="15" s="1"/>
  <c r="H4" i="23"/>
  <c r="H5" i="23" s="1"/>
  <c r="F12" i="9"/>
  <c r="C32" i="26"/>
  <c r="I6" i="15"/>
  <c r="L6" i="9"/>
  <c r="H42" i="7"/>
  <c r="K8" i="2"/>
  <c r="C22" i="3"/>
  <c r="F14" i="2"/>
  <c r="I8" i="4"/>
  <c r="I9" i="4" s="1"/>
  <c r="L11" i="8"/>
  <c r="H15" i="2"/>
  <c r="K11" i="11"/>
  <c r="J7" i="7"/>
  <c r="C37" i="15"/>
  <c r="F12" i="12"/>
  <c r="F13" i="12" s="1"/>
  <c r="H18" i="16"/>
  <c r="J6" i="9"/>
  <c r="H39" i="8"/>
  <c r="H15" i="7"/>
  <c r="I8" i="3"/>
  <c r="I9" i="3" s="1"/>
  <c r="I5" i="7"/>
  <c r="C37" i="23"/>
  <c r="G5" i="12"/>
  <c r="H54" i="8"/>
  <c r="F10" i="3"/>
  <c r="F11" i="17"/>
  <c r="F7" i="15"/>
  <c r="C22" i="4"/>
  <c r="H10" i="2"/>
  <c r="H5" i="7"/>
  <c r="C36" i="23"/>
  <c r="J11" i="22"/>
  <c r="J9" i="24"/>
  <c r="J7" i="22"/>
  <c r="G5" i="22"/>
  <c r="G13" i="21"/>
  <c r="G5" i="24"/>
  <c r="C35" i="15"/>
  <c r="C31" i="12"/>
  <c r="F14" i="11"/>
  <c r="F15" i="11" s="1"/>
  <c r="C42" i="11"/>
  <c r="H7" i="15"/>
  <c r="C27" i="3"/>
  <c r="C30" i="10"/>
  <c r="H25" i="7"/>
  <c r="H41" i="11"/>
  <c r="I5" i="27"/>
  <c r="K16" i="9"/>
  <c r="K17" i="9" s="1"/>
  <c r="H13" i="16"/>
  <c r="F7" i="12"/>
  <c r="F14" i="21"/>
  <c r="F15" i="21" s="1"/>
  <c r="F8" i="8"/>
  <c r="C22" i="21"/>
  <c r="J8" i="20"/>
  <c r="G14" i="11"/>
  <c r="G15" i="11" s="1"/>
  <c r="F6" i="19"/>
  <c r="F10" i="8"/>
  <c r="F11" i="8" s="1"/>
  <c r="H25" i="10"/>
  <c r="H11" i="12"/>
  <c r="C18" i="3"/>
  <c r="F8" i="10"/>
  <c r="I4" i="26"/>
  <c r="I12" i="19"/>
  <c r="C35" i="5"/>
  <c r="J15" i="17"/>
  <c r="F15" i="15"/>
  <c r="I7" i="23"/>
  <c r="J9" i="15"/>
  <c r="H11" i="24"/>
  <c r="F13" i="22"/>
  <c r="F9" i="4"/>
  <c r="H11" i="17"/>
  <c r="F13" i="3"/>
  <c r="I5" i="10"/>
  <c r="J15" i="10"/>
  <c r="K7" i="2"/>
  <c r="I5" i="4"/>
  <c r="G9" i="10"/>
  <c r="F7" i="5"/>
  <c r="G5" i="7"/>
  <c r="I13" i="6"/>
  <c r="G5" i="9"/>
  <c r="H11" i="18"/>
  <c r="J9" i="12"/>
  <c r="J7" i="8"/>
  <c r="K9" i="8"/>
  <c r="L5" i="8"/>
  <c r="F9" i="8"/>
  <c r="F15" i="12"/>
  <c r="G9" i="3"/>
  <c r="G5" i="2"/>
  <c r="H7" i="20"/>
  <c r="J9" i="4"/>
  <c r="J7" i="3"/>
  <c r="I5" i="11"/>
  <c r="G11" i="9"/>
  <c r="L15" i="8"/>
  <c r="H11" i="5"/>
  <c r="K13" i="2"/>
  <c r="K9" i="12"/>
  <c r="J7" i="10"/>
  <c r="F11" i="2"/>
  <c r="F7" i="7"/>
  <c r="K11" i="2"/>
  <c r="L4" i="2" l="1"/>
  <c r="M5" i="2"/>
  <c r="N9" i="8"/>
  <c r="M8" i="8"/>
  <c r="L13" i="22"/>
  <c r="K12" i="22"/>
  <c r="M15" i="21"/>
  <c r="L14" i="21"/>
  <c r="K4" i="24"/>
  <c r="L5" i="24"/>
  <c r="L5" i="22"/>
  <c r="K4" i="22"/>
  <c r="L11" i="22"/>
  <c r="K10" i="22"/>
  <c r="K8" i="24"/>
  <c r="L9" i="24"/>
  <c r="L5" i="6"/>
  <c r="K4" i="6"/>
  <c r="L12" i="11"/>
  <c r="M13" i="11"/>
  <c r="M11" i="21"/>
  <c r="L10" i="21"/>
  <c r="M11" i="23"/>
  <c r="L10" i="23"/>
  <c r="M13" i="21"/>
  <c r="L12" i="21"/>
  <c r="M13" i="17"/>
  <c r="L12" i="17"/>
  <c r="L12" i="23"/>
  <c r="M13" i="23"/>
  <c r="K6" i="22"/>
  <c r="L7" i="22"/>
  <c r="L7" i="20"/>
  <c r="K6" i="20"/>
  <c r="K12" i="24"/>
  <c r="L13" i="24"/>
  <c r="M9" i="21"/>
  <c r="L8" i="21"/>
  <c r="K10" i="6"/>
  <c r="L11" i="6"/>
  <c r="L13" i="16"/>
  <c r="K12" i="16"/>
  <c r="K10" i="5"/>
  <c r="L11" i="5"/>
  <c r="L4" i="23"/>
  <c r="M5" i="23"/>
  <c r="L9" i="22"/>
  <c r="K8" i="22"/>
  <c r="L11" i="20"/>
  <c r="K10" i="20"/>
  <c r="M5" i="15"/>
  <c r="L4" i="15"/>
  <c r="M5" i="21"/>
  <c r="L4" i="21"/>
  <c r="L7" i="24"/>
  <c r="K6" i="24"/>
  <c r="M7" i="23"/>
  <c r="L6" i="23"/>
  <c r="M15" i="23"/>
  <c r="L14" i="23"/>
  <c r="L6" i="21"/>
  <c r="M7" i="21"/>
  <c r="M8" i="9"/>
  <c r="N9" i="9"/>
  <c r="M9" i="23"/>
  <c r="L8" i="23"/>
  <c r="K10" i="19"/>
  <c r="L11" i="19"/>
  <c r="K10" i="24"/>
  <c r="L11" i="24"/>
  <c r="L13" i="27"/>
  <c r="K12" i="27"/>
  <c r="M5" i="11"/>
  <c r="L4" i="11"/>
  <c r="K4" i="16"/>
  <c r="L5" i="16"/>
  <c r="L9" i="18"/>
  <c r="K8" i="18"/>
  <c r="M15" i="17"/>
  <c r="L14" i="17"/>
  <c r="L8" i="26"/>
  <c r="M9" i="26"/>
  <c r="M11" i="15"/>
  <c r="L10" i="15"/>
  <c r="L5" i="27"/>
  <c r="K4" i="27"/>
  <c r="I13" i="19"/>
  <c r="F15" i="2"/>
  <c r="F13" i="9"/>
  <c r="I7" i="17"/>
  <c r="H5" i="4"/>
  <c r="J15" i="7"/>
  <c r="K5" i="17"/>
  <c r="G17" i="8"/>
  <c r="I5" i="18"/>
  <c r="J9" i="11"/>
  <c r="I13" i="2"/>
  <c r="F11" i="11"/>
  <c r="G13" i="4"/>
  <c r="H13" i="20"/>
  <c r="G13" i="12"/>
  <c r="I17" i="8"/>
  <c r="H13" i="7"/>
  <c r="G11" i="10"/>
  <c r="H7" i="18"/>
  <c r="K7" i="9"/>
  <c r="I13" i="5"/>
  <c r="I7" i="7"/>
  <c r="G11" i="26"/>
  <c r="I15" i="26"/>
  <c r="H11" i="7"/>
  <c r="F11" i="18"/>
  <c r="J9" i="19"/>
  <c r="J9" i="3"/>
  <c r="F7" i="4"/>
  <c r="G13" i="20"/>
  <c r="F7" i="18"/>
  <c r="F7" i="27"/>
  <c r="F7" i="11"/>
  <c r="H7" i="27"/>
  <c r="H7" i="10"/>
  <c r="J11" i="26"/>
  <c r="G11" i="7"/>
  <c r="F7" i="6"/>
  <c r="I15" i="7"/>
  <c r="G5" i="26"/>
  <c r="G9" i="27"/>
  <c r="G9" i="25"/>
  <c r="I5" i="26"/>
  <c r="F7" i="19"/>
  <c r="H11" i="2"/>
  <c r="J7" i="9"/>
  <c r="K9" i="2"/>
  <c r="F9" i="7"/>
  <c r="J5" i="26"/>
  <c r="F7" i="17"/>
  <c r="J11" i="16"/>
  <c r="J5" i="9"/>
  <c r="I7" i="5"/>
  <c r="J7" i="5"/>
  <c r="K5" i="7"/>
  <c r="K7" i="26"/>
  <c r="F9" i="15"/>
  <c r="I9" i="7"/>
  <c r="G9" i="4"/>
  <c r="K9" i="15"/>
  <c r="K11" i="10"/>
  <c r="I15" i="10"/>
  <c r="G13" i="10"/>
  <c r="F11" i="4"/>
  <c r="I15" i="15"/>
  <c r="I15" i="9"/>
  <c r="H17" i="8"/>
  <c r="J5" i="10"/>
  <c r="F13" i="15"/>
  <c r="H11" i="3"/>
  <c r="H7" i="8"/>
  <c r="F17" i="8"/>
  <c r="F13" i="7"/>
  <c r="G13" i="26"/>
  <c r="J9" i="17"/>
  <c r="I7" i="25"/>
  <c r="K11" i="12"/>
  <c r="F15" i="26"/>
  <c r="F9" i="27"/>
  <c r="J11" i="25"/>
  <c r="G15" i="10"/>
  <c r="J5" i="3"/>
  <c r="J5" i="19"/>
  <c r="F9" i="10"/>
  <c r="J9" i="20"/>
  <c r="F11" i="3"/>
  <c r="L7" i="9"/>
  <c r="F7" i="3"/>
  <c r="L11" i="9"/>
  <c r="I13" i="3"/>
  <c r="F9" i="6"/>
  <c r="G13" i="5"/>
  <c r="H15" i="9"/>
  <c r="H17" i="9"/>
  <c r="L7" i="8"/>
  <c r="G13" i="8"/>
  <c r="F13" i="10"/>
  <c r="H5" i="9"/>
  <c r="G5" i="25"/>
  <c r="H7" i="9"/>
  <c r="F9" i="11"/>
  <c r="H5" i="8"/>
  <c r="G9" i="11"/>
  <c r="J15" i="8"/>
  <c r="F9" i="12"/>
  <c r="I7" i="2"/>
  <c r="J9" i="25"/>
  <c r="H11" i="8"/>
  <c r="J15" i="11"/>
  <c r="H13" i="6"/>
  <c r="J7" i="17"/>
  <c r="I5" i="9"/>
  <c r="I13" i="26"/>
  <c r="H7" i="7"/>
  <c r="G11" i="17"/>
  <c r="F9" i="3"/>
  <c r="H13" i="26"/>
  <c r="I7" i="15"/>
  <c r="H11" i="16"/>
  <c r="G5" i="8"/>
  <c r="K9" i="7"/>
  <c r="H13" i="5"/>
  <c r="F7" i="8"/>
  <c r="F13" i="25"/>
  <c r="J15" i="2"/>
  <c r="G9" i="2"/>
  <c r="F11" i="16"/>
  <c r="H5" i="20"/>
  <c r="F13" i="2"/>
  <c r="I5" i="5"/>
  <c r="G9" i="19"/>
  <c r="K5" i="9"/>
  <c r="F9" i="16"/>
  <c r="K13" i="8"/>
  <c r="H11" i="9"/>
  <c r="J15" i="12"/>
  <c r="K9" i="10"/>
  <c r="I9" i="16"/>
  <c r="H7" i="12"/>
  <c r="H15" i="26"/>
  <c r="I13" i="25"/>
  <c r="I5" i="12"/>
  <c r="J5" i="17"/>
  <c r="J9" i="5"/>
  <c r="I7" i="16"/>
  <c r="H11" i="27"/>
  <c r="I13" i="18"/>
  <c r="H7" i="26"/>
  <c r="G13" i="18"/>
  <c r="I13" i="8"/>
  <c r="I7" i="18"/>
  <c r="L13" i="18" l="1"/>
  <c r="K12" i="18"/>
  <c r="L6" i="26"/>
  <c r="M7" i="26"/>
  <c r="K10" i="27"/>
  <c r="L11" i="27"/>
  <c r="L7" i="16"/>
  <c r="K6" i="16"/>
  <c r="L9" i="5"/>
  <c r="K8" i="5"/>
  <c r="M5" i="17"/>
  <c r="L4" i="17"/>
  <c r="M5" i="12"/>
  <c r="L4" i="12"/>
  <c r="M7" i="12"/>
  <c r="L6" i="12"/>
  <c r="L14" i="12"/>
  <c r="M15" i="12"/>
  <c r="N11" i="9"/>
  <c r="M10" i="9"/>
  <c r="K8" i="16"/>
  <c r="L9" i="16"/>
  <c r="K8" i="19"/>
  <c r="L9" i="19"/>
  <c r="K4" i="5"/>
  <c r="L5" i="5"/>
  <c r="L12" i="2"/>
  <c r="M13" i="2"/>
  <c r="K4" i="20"/>
  <c r="L5" i="20"/>
  <c r="K10" i="16"/>
  <c r="L11" i="16"/>
  <c r="L8" i="2"/>
  <c r="M9" i="2"/>
  <c r="L13" i="25"/>
  <c r="K12" i="25"/>
  <c r="M6" i="8"/>
  <c r="N7" i="8"/>
  <c r="M4" i="8"/>
  <c r="N5" i="8"/>
  <c r="L6" i="15"/>
  <c r="M7" i="15"/>
  <c r="K8" i="3"/>
  <c r="L9" i="3"/>
  <c r="M11" i="17"/>
  <c r="L10" i="17"/>
  <c r="L6" i="7"/>
  <c r="M7" i="7"/>
  <c r="K12" i="6"/>
  <c r="L13" i="6"/>
  <c r="M15" i="11"/>
  <c r="L14" i="11"/>
  <c r="M10" i="8"/>
  <c r="N11" i="8"/>
  <c r="L6" i="2"/>
  <c r="M7" i="2"/>
  <c r="L8" i="12"/>
  <c r="M9" i="12"/>
  <c r="M14" i="8"/>
  <c r="N15" i="8"/>
  <c r="L8" i="11"/>
  <c r="M9" i="11"/>
  <c r="M6" i="9"/>
  <c r="N7" i="9"/>
  <c r="K4" i="25"/>
  <c r="L5" i="25"/>
  <c r="N5" i="9"/>
  <c r="M4" i="9"/>
  <c r="L12" i="10"/>
  <c r="M13" i="10"/>
  <c r="N13" i="8"/>
  <c r="M12" i="8"/>
  <c r="N17" i="9"/>
  <c r="M16" i="9"/>
  <c r="N15" i="9"/>
  <c r="M14" i="9"/>
  <c r="L13" i="5"/>
  <c r="K12" i="5"/>
  <c r="L9" i="6"/>
  <c r="K8" i="6"/>
  <c r="K12" i="3"/>
  <c r="L13" i="3"/>
  <c r="K6" i="3"/>
  <c r="L7" i="3"/>
  <c r="K10" i="3"/>
  <c r="L11" i="3"/>
  <c r="K8" i="20"/>
  <c r="L9" i="20"/>
  <c r="L8" i="10"/>
  <c r="M9" i="10"/>
  <c r="K4" i="19"/>
  <c r="L5" i="19"/>
  <c r="L5" i="3"/>
  <c r="K4" i="3"/>
  <c r="L14" i="10"/>
  <c r="M15" i="10"/>
  <c r="K10" i="25"/>
  <c r="L11" i="25"/>
  <c r="L9" i="27"/>
  <c r="K8" i="27"/>
  <c r="M15" i="26"/>
  <c r="L14" i="26"/>
  <c r="M11" i="12"/>
  <c r="L10" i="12"/>
  <c r="L7" i="25"/>
  <c r="K6" i="25"/>
  <c r="L8" i="17"/>
  <c r="M9" i="17"/>
  <c r="L12" i="26"/>
  <c r="M13" i="26"/>
  <c r="L12" i="7"/>
  <c r="M13" i="7"/>
  <c r="M16" i="8"/>
  <c r="N17" i="8"/>
  <c r="L12" i="15"/>
  <c r="M13" i="15"/>
  <c r="L4" i="10"/>
  <c r="M5" i="10"/>
  <c r="L14" i="15"/>
  <c r="M15" i="15"/>
  <c r="L11" i="4"/>
  <c r="K10" i="4"/>
  <c r="L9" i="4"/>
  <c r="K8" i="4"/>
  <c r="L8" i="15"/>
  <c r="M9" i="15"/>
  <c r="L4" i="7"/>
  <c r="M5" i="7"/>
  <c r="K6" i="5"/>
  <c r="L7" i="5"/>
  <c r="L6" i="17"/>
  <c r="M7" i="17"/>
  <c r="L8" i="7"/>
  <c r="M9" i="7"/>
  <c r="M11" i="2"/>
  <c r="L10" i="2"/>
  <c r="L7" i="19"/>
  <c r="K6" i="19"/>
  <c r="L9" i="25"/>
  <c r="K8" i="25"/>
  <c r="L4" i="26"/>
  <c r="M5" i="26"/>
  <c r="L14" i="7"/>
  <c r="M15" i="7"/>
  <c r="K6" i="6"/>
  <c r="L7" i="6"/>
  <c r="L10" i="7"/>
  <c r="M11" i="7"/>
  <c r="L6" i="10"/>
  <c r="M7" i="10"/>
  <c r="L6" i="11"/>
  <c r="M7" i="11"/>
  <c r="L7" i="27"/>
  <c r="K6" i="27"/>
  <c r="L7" i="18"/>
  <c r="K6" i="18"/>
  <c r="L13" i="20"/>
  <c r="K12" i="20"/>
  <c r="L7" i="4"/>
  <c r="K6" i="4"/>
  <c r="L11" i="18"/>
  <c r="K10" i="18"/>
  <c r="M11" i="26"/>
  <c r="L10" i="26"/>
  <c r="M11" i="10"/>
  <c r="L10" i="10"/>
  <c r="L12" i="12"/>
  <c r="M13" i="12"/>
  <c r="L13" i="4"/>
  <c r="K12" i="4"/>
  <c r="M11" i="11"/>
  <c r="L10" i="11"/>
  <c r="K4" i="18"/>
  <c r="L5" i="18"/>
  <c r="L5" i="4"/>
  <c r="K4" i="4"/>
  <c r="N13" i="9"/>
  <c r="M12" i="9"/>
  <c r="M15" i="2"/>
  <c r="L14" i="2"/>
  <c r="L13" i="19"/>
  <c r="K12" i="19"/>
</calcChain>
</file>

<file path=xl/sharedStrings.xml><?xml version="1.0" encoding="utf-8"?>
<sst xmlns="http://schemas.openxmlformats.org/spreadsheetml/2006/main" count="1117" uniqueCount="234">
  <si>
    <t>Команда</t>
  </si>
  <si>
    <t>победы</t>
  </si>
  <si>
    <t>доп</t>
  </si>
  <si>
    <t>место</t>
  </si>
  <si>
    <t>Африканов</t>
  </si>
  <si>
    <t/>
  </si>
  <si>
    <t>Кувакин</t>
  </si>
  <si>
    <t>Мишин</t>
  </si>
  <si>
    <t>Сафонов</t>
  </si>
  <si>
    <t>Ы</t>
  </si>
  <si>
    <t>Домбровский</t>
  </si>
  <si>
    <t>Фальковский</t>
  </si>
  <si>
    <t>Тур 1</t>
  </si>
  <si>
    <t>дор.</t>
  </si>
  <si>
    <t>Тур 2</t>
  </si>
  <si>
    <t>Тур 3</t>
  </si>
  <si>
    <t>Тур 4</t>
  </si>
  <si>
    <t>Тур 5</t>
  </si>
  <si>
    <t>Группа 1</t>
  </si>
  <si>
    <t>Питер</t>
  </si>
  <si>
    <t>Мужчины</t>
  </si>
  <si>
    <t>Крошилов</t>
  </si>
  <si>
    <t>Северов</t>
  </si>
  <si>
    <t>Смирнов</t>
  </si>
  <si>
    <t>Таратин</t>
  </si>
  <si>
    <t>Бацманов</t>
  </si>
  <si>
    <t>Питер
14.01.2024</t>
  </si>
  <si>
    <t>Группа 2</t>
  </si>
  <si>
    <t>Лямунов</t>
  </si>
  <si>
    <t>Зорро</t>
  </si>
  <si>
    <t>Федотов</t>
  </si>
  <si>
    <t>Захаров</t>
  </si>
  <si>
    <t>Савельев</t>
  </si>
  <si>
    <t>Группа 3</t>
  </si>
  <si>
    <t>Мирошниченко</t>
  </si>
  <si>
    <t>Багаутдинова</t>
  </si>
  <si>
    <t>Сафонова</t>
  </si>
  <si>
    <t>Таратина</t>
  </si>
  <si>
    <t>Домбровская</t>
  </si>
  <si>
    <t>Гуменюк</t>
  </si>
  <si>
    <t>Женщины</t>
  </si>
  <si>
    <t>Крылова</t>
  </si>
  <si>
    <t>Крошилова</t>
  </si>
  <si>
    <t>Ткаченко</t>
  </si>
  <si>
    <t>Чахова</t>
  </si>
  <si>
    <t>Потапова</t>
  </si>
  <si>
    <t>Питер
13.01.2024</t>
  </si>
  <si>
    <t>Пименова</t>
  </si>
  <si>
    <t>Чекмарева</t>
  </si>
  <si>
    <t>Кирдеева</t>
  </si>
  <si>
    <t>Кондратова</t>
  </si>
  <si>
    <t>Кудряшова</t>
  </si>
  <si>
    <t>Тур 6</t>
  </si>
  <si>
    <t>Тур 7</t>
  </si>
  <si>
    <t>Приозерск</t>
  </si>
  <si>
    <t>Пелевина Наталья</t>
  </si>
  <si>
    <t>Большакова Мария</t>
  </si>
  <si>
    <t>Пелевина Вера</t>
  </si>
  <si>
    <t>Елсакова Оксана</t>
  </si>
  <si>
    <t>Лебедева Елена</t>
  </si>
  <si>
    <t>Иноземцева Анастасия</t>
  </si>
  <si>
    <t>Елсакова Алена</t>
  </si>
  <si>
    <t>Соколова Ольга</t>
  </si>
  <si>
    <t>Иванова Ольга</t>
  </si>
  <si>
    <t>Гедройц Ася</t>
  </si>
  <si>
    <t>Зимина Светлана</t>
  </si>
  <si>
    <t>Орлова Таисия</t>
  </si>
  <si>
    <t>Писарева Екатерина</t>
  </si>
  <si>
    <t>Пашина Аля</t>
  </si>
  <si>
    <t>Пелевин А</t>
  </si>
  <si>
    <t>Зимин М</t>
  </si>
  <si>
    <t>Гаркавый В</t>
  </si>
  <si>
    <t>Гедройц А</t>
  </si>
  <si>
    <t>Уланкин Е</t>
  </si>
  <si>
    <t>Николаев А</t>
  </si>
  <si>
    <t>Иванов Ю</t>
  </si>
  <si>
    <t>Капов И</t>
  </si>
  <si>
    <t>Большаков В</t>
  </si>
  <si>
    <t>Пономаренко Ю</t>
  </si>
  <si>
    <t>Анненков Д</t>
  </si>
  <si>
    <t>Елсаков С</t>
  </si>
  <si>
    <t>Новиков А</t>
  </si>
  <si>
    <t>Попов В</t>
  </si>
  <si>
    <t>Зинкеев Г</t>
  </si>
  <si>
    <t>Горбунов А</t>
  </si>
  <si>
    <t>Абдрахманов Д</t>
  </si>
  <si>
    <t>Большаков М</t>
  </si>
  <si>
    <t>Группа М1</t>
  </si>
  <si>
    <t>Москва</t>
  </si>
  <si>
    <t>Группа М2</t>
  </si>
  <si>
    <t>Группа Ж1</t>
  </si>
  <si>
    <t>Группа М3</t>
  </si>
  <si>
    <t>Группа М4</t>
  </si>
  <si>
    <t>Группа Ж2</t>
  </si>
  <si>
    <t>Петрушко Юля</t>
  </si>
  <si>
    <t>Головко Татьяна</t>
  </si>
  <si>
    <t>Артюхина Елена</t>
  </si>
  <si>
    <t>Кайтукова Фатима</t>
  </si>
  <si>
    <t>Дубовицкая Ольга</t>
  </si>
  <si>
    <t>Трофимова Катерина</t>
  </si>
  <si>
    <t>Тихонов Дмитрий</t>
  </si>
  <si>
    <t>Базарев Дмитрий</t>
  </si>
  <si>
    <t>Ли Александр</t>
  </si>
  <si>
    <t>Петраков Игорь</t>
  </si>
  <si>
    <t>Глуховский Аркадий</t>
  </si>
  <si>
    <t>Петрушко Алексей</t>
  </si>
  <si>
    <t>Каргашин Илья</t>
  </si>
  <si>
    <t>Трофимов Александр</t>
  </si>
  <si>
    <t>Трутнев Евгений</t>
  </si>
  <si>
    <t>Дубовицкий Игорь</t>
  </si>
  <si>
    <t>Франк Николай</t>
  </si>
  <si>
    <t xml:space="preserve"> </t>
  </si>
  <si>
    <t>Вахрушев Владимир</t>
  </si>
  <si>
    <t>Зубова Наталья</t>
  </si>
  <si>
    <t>Хафизова Индира</t>
  </si>
  <si>
    <t>Тихомирова Елена</t>
  </si>
  <si>
    <t>Полякова Оксана</t>
  </si>
  <si>
    <t>Тюрина Елена</t>
  </si>
  <si>
    <t>Воронов Олег</t>
  </si>
  <si>
    <t>Папоян Григорий</t>
  </si>
  <si>
    <t>Поляков Алексей</t>
  </si>
  <si>
    <t>Тюнин Иван</t>
  </si>
  <si>
    <t>Денисов Евгений</t>
  </si>
  <si>
    <t>Гаджиев Сеявуш</t>
  </si>
  <si>
    <t>Жака</t>
  </si>
  <si>
    <t>Шапкин Константин</t>
  </si>
  <si>
    <t>Кравцов Владимир</t>
  </si>
  <si>
    <t>Десногорск М1</t>
  </si>
  <si>
    <t>Десногорск Ж1</t>
  </si>
  <si>
    <t>Бублик</t>
  </si>
  <si>
    <t>Забелина</t>
  </si>
  <si>
    <t>Скляр</t>
  </si>
  <si>
    <t>Тимохина</t>
  </si>
  <si>
    <t>Карпова</t>
  </si>
  <si>
    <t>Догадин</t>
  </si>
  <si>
    <t>Рядовиков</t>
  </si>
  <si>
    <t>Гришков</t>
  </si>
  <si>
    <t>Медведев</t>
  </si>
  <si>
    <t>Шихарбеев</t>
  </si>
  <si>
    <t>Вакулов</t>
  </si>
  <si>
    <t>Группа Ж3</t>
  </si>
  <si>
    <t>Лукьянова Ирина</t>
  </si>
  <si>
    <t>Трушина Надежда</t>
  </si>
  <si>
    <t>Мурашова Елена</t>
  </si>
  <si>
    <t>Грачанац Наталья</t>
  </si>
  <si>
    <t>Воробьева Лиза</t>
  </si>
  <si>
    <t>Гулинин Евгений</t>
  </si>
  <si>
    <t>Ницинский Стас</t>
  </si>
  <si>
    <t>Осокин Евгений</t>
  </si>
  <si>
    <t>Бейгер Максим</t>
  </si>
  <si>
    <t>Чашин Василий</t>
  </si>
  <si>
    <t>Трушин Егор</t>
  </si>
  <si>
    <t>Калуга М1</t>
  </si>
  <si>
    <t>Михеенко Алексей</t>
  </si>
  <si>
    <t>Балабуев</t>
  </si>
  <si>
    <t>Михеенко</t>
  </si>
  <si>
    <t>Банщиков</t>
  </si>
  <si>
    <t>Шундрин Д</t>
  </si>
  <si>
    <t>Шундрин А</t>
  </si>
  <si>
    <t>Калуга М2</t>
  </si>
  <si>
    <t>Гоцфрид</t>
  </si>
  <si>
    <t>Царегородцев</t>
  </si>
  <si>
    <t>Шундрин М</t>
  </si>
  <si>
    <t>Мокрушин</t>
  </si>
  <si>
    <t>Федотовский</t>
  </si>
  <si>
    <t>Глеклер</t>
  </si>
  <si>
    <t>Калуга Ж1</t>
  </si>
  <si>
    <t>Алкина</t>
  </si>
  <si>
    <t>Березнеговская</t>
  </si>
  <si>
    <t>Кирменская</t>
  </si>
  <si>
    <t>Баринова</t>
  </si>
  <si>
    <t>Бугите</t>
  </si>
  <si>
    <t>Игрок</t>
  </si>
  <si>
    <t>Город</t>
  </si>
  <si>
    <t>Рейтинг</t>
  </si>
  <si>
    <t>Поток</t>
  </si>
  <si>
    <t>Лухиши Хафидо</t>
  </si>
  <si>
    <t>чемпион прошлого года</t>
  </si>
  <si>
    <t>Хмылев Юрий</t>
  </si>
  <si>
    <t>Томск</t>
  </si>
  <si>
    <t>Изместьев А</t>
  </si>
  <si>
    <t>Африканов Андрей</t>
  </si>
  <si>
    <t>Мишин Дмитрий</t>
  </si>
  <si>
    <t>Крошилов Александр</t>
  </si>
  <si>
    <t>Кувакин Валерий</t>
  </si>
  <si>
    <t>вместо Северова</t>
  </si>
  <si>
    <t>Лямунов Никита</t>
  </si>
  <si>
    <t>Федотов Николай</t>
  </si>
  <si>
    <t>Пелевин Андрей</t>
  </si>
  <si>
    <t>Калуга</t>
  </si>
  <si>
    <t>отбирался в Москве</t>
  </si>
  <si>
    <t>Догадин Евгений</t>
  </si>
  <si>
    <t>Смоленск</t>
  </si>
  <si>
    <t>отбирался в Десногорске</t>
  </si>
  <si>
    <t>Гришков Сергей</t>
  </si>
  <si>
    <t>Десногорск</t>
  </si>
  <si>
    <t>Банщиков Андрей</t>
  </si>
  <si>
    <t>Шундрин Михаил</t>
  </si>
  <si>
    <t>Федотовский Олег</t>
  </si>
  <si>
    <t>из московского листа ожидания</t>
  </si>
  <si>
    <t>Лист ожидания Москва</t>
  </si>
  <si>
    <t>Место</t>
  </si>
  <si>
    <t>процент побед</t>
  </si>
  <si>
    <t>поб над ф</t>
  </si>
  <si>
    <t>ср разн</t>
  </si>
  <si>
    <t>ср очки</t>
  </si>
  <si>
    <t>группа</t>
  </si>
  <si>
    <t>М5</t>
  </si>
  <si>
    <t>М1</t>
  </si>
  <si>
    <t>М3</t>
  </si>
  <si>
    <t>М2</t>
  </si>
  <si>
    <t>М4</t>
  </si>
  <si>
    <t>Бирюкова Наталья</t>
  </si>
  <si>
    <t>Мирошниченко Вера</t>
  </si>
  <si>
    <t>Сафонова Светлана</t>
  </si>
  <si>
    <t>Крошилова Ирина</t>
  </si>
  <si>
    <t>Ткаченко Анна</t>
  </si>
  <si>
    <t>Пименова Татьяна</t>
  </si>
  <si>
    <t>Петрушко Юлия</t>
  </si>
  <si>
    <t>Бублик Татьяна</t>
  </si>
  <si>
    <t>Скляр Светлана</t>
  </si>
  <si>
    <t>Алкина Светлана</t>
  </si>
  <si>
    <t>Баринова Светлана</t>
  </si>
  <si>
    <t>Ж3</t>
  </si>
  <si>
    <t>Ж2</t>
  </si>
  <si>
    <t>Ж1</t>
  </si>
  <si>
    <t>Кондратова Нина</t>
  </si>
  <si>
    <t>рейтинг</t>
  </si>
  <si>
    <t>Зимин Михаил</t>
  </si>
  <si>
    <t>Иванов Юрий</t>
  </si>
  <si>
    <t>Капов Иван</t>
  </si>
  <si>
    <t>Новиков Андрей</t>
  </si>
  <si>
    <t>Попов Виктор</t>
  </si>
  <si>
    <t>Андриамахаринжака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</si>
</sst>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;0"/>
    <numFmt numFmtId="165" formatCode="\+##;\-##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sz val="16"/>
      <color theme="0" tint="-0.1499984740745262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3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5" fontId="4" fillId="3" borderId="21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3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0" xfId="0" applyNumberFormat="1"/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4" xfId="0" applyBorder="1"/>
    <xf numFmtId="0" fontId="9" fillId="0" borderId="0" xfId="0" applyFont="1"/>
    <xf numFmtId="0" fontId="0" fillId="2" borderId="0" xfId="0" applyFill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2" borderId="19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 indent="1"/>
    </xf>
    <xf numFmtId="0" fontId="3" fillId="4" borderId="39" xfId="0" applyFont="1" applyFill="1" applyBorder="1" applyAlignment="1">
      <alignment horizontal="left" vertical="center" wrapText="1" indent="1"/>
    </xf>
    <xf numFmtId="0" fontId="3" fillId="4" borderId="40" xfId="0" applyFont="1" applyFill="1" applyBorder="1" applyAlignment="1">
      <alignment horizontal="left" vertical="center" wrapText="1" indent="1"/>
    </xf>
    <xf numFmtId="0" fontId="3" fillId="4" borderId="41" xfId="0" applyFont="1" applyFill="1" applyBorder="1" applyAlignment="1">
      <alignment horizontal="left" vertical="center" wrapText="1" indent="1"/>
    </xf>
    <xf numFmtId="0" fontId="3" fillId="4" borderId="34" xfId="0" applyFont="1" applyFill="1" applyBorder="1" applyAlignment="1">
      <alignment horizontal="left" vertical="center" wrapText="1" indent="1"/>
    </xf>
    <xf numFmtId="0" fontId="3" fillId="4" borderId="3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39" xfId="0" applyFont="1" applyFill="1" applyBorder="1" applyAlignment="1">
      <alignment horizontal="left" vertical="center" wrapText="1" indent="1"/>
    </xf>
    <xf numFmtId="0" fontId="3" fillId="2" borderId="40" xfId="0" applyFont="1" applyFill="1" applyBorder="1" applyAlignment="1">
      <alignment horizontal="left" vertical="center" wrapText="1" indent="1"/>
    </xf>
    <xf numFmtId="0" fontId="3" fillId="2" borderId="41" xfId="0" applyFont="1" applyFill="1" applyBorder="1" applyAlignment="1">
      <alignment horizontal="left" vertical="center" wrapText="1" indent="1"/>
    </xf>
    <xf numFmtId="0" fontId="3" fillId="2" borderId="34" xfId="0" applyFont="1" applyFill="1" applyBorder="1" applyAlignment="1">
      <alignment horizontal="left" vertical="center" wrapText="1" indent="1"/>
    </xf>
    <xf numFmtId="0" fontId="3" fillId="2" borderId="35" xfId="0" applyFont="1" applyFill="1" applyBorder="1" applyAlignment="1">
      <alignment horizontal="left" vertical="center" wrapText="1" indent="1"/>
    </xf>
    <xf numFmtId="0" fontId="0" fillId="0" borderId="42" xfId="0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8" xfId="0" applyFont="1" applyFill="1" applyBorder="1" applyAlignment="1">
      <alignment horizontal="left" vertical="center" wrapText="1" indent="1"/>
    </xf>
    <xf numFmtId="0" fontId="3" fillId="2" borderId="29" xfId="0" applyFont="1" applyFill="1" applyBorder="1" applyAlignment="1">
      <alignment horizontal="left" vertical="center" wrapText="1" indent="1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55543</xdr:colOff>
      <xdr:row>24</xdr:row>
      <xdr:rowOff>104190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57143" cy="4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B1" sqref="B1:N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84" t="s">
        <v>18</v>
      </c>
      <c r="C1" s="84"/>
      <c r="D1" s="84"/>
      <c r="E1" s="84"/>
      <c r="F1" s="84"/>
      <c r="G1" s="84"/>
      <c r="H1" s="84"/>
      <c r="I1" s="84"/>
      <c r="J1" s="84"/>
      <c r="K1" s="84"/>
      <c r="L1" t="s">
        <v>54</v>
      </c>
      <c r="M1" t="s">
        <v>20</v>
      </c>
      <c r="N1" s="30">
        <v>45305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89" t="s">
        <v>69</v>
      </c>
      <c r="D4" s="90"/>
      <c r="E4" s="91"/>
      <c r="F4" s="7" t="s">
        <v>5</v>
      </c>
      <c r="G4" s="8" t="str">
        <f ca="1">INDIRECT(ADDRESS(27,6))&amp;":"&amp;INDIRECT(ADDRESS(27,7))</f>
        <v>8:13</v>
      </c>
      <c r="H4" s="8" t="str">
        <f ca="1">INDIRECT(ADDRESS(31,7))&amp;":"&amp;INDIRECT(ADDRESS(31,6))</f>
        <v>13:3</v>
      </c>
      <c r="I4" s="8" t="str">
        <f ca="1">INDIRECT(ADDRESS(36,6))&amp;":"&amp;INDIRECT(ADDRESS(36,7))</f>
        <v>9:8</v>
      </c>
      <c r="J4" s="8" t="str">
        <f ca="1">INDIRECT(ADDRESS(42,7))&amp;":"&amp;INDIRECT(ADDRESS(42,6))</f>
        <v>13:9</v>
      </c>
      <c r="K4" s="9" t="str">
        <f ca="1">INDIRECT(ADDRESS(20,6))&amp;":"&amp;INDIRECT(ADDRESS(20,7))</f>
        <v>13:10</v>
      </c>
      <c r="L4" s="92">
        <f ca="1">IF(COUNT(F5:K5)=0,"",COUNTIF(F5:K5,"&gt;0")+0.5*COUNTIF(F5:K5,0))</f>
        <v>4</v>
      </c>
      <c r="M4" s="10"/>
      <c r="N4" s="121">
        <v>2</v>
      </c>
    </row>
    <row r="5" spans="2:14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-5</v>
      </c>
      <c r="H5" s="12">
        <f ca="1">IF(LEN(INDIRECT(ADDRESS(ROW()-1, COLUMN())))=1,"",INDIRECT(ADDRESS(31,7))-INDIRECT(ADDRESS(31,6)))</f>
        <v>10</v>
      </c>
      <c r="I5" s="12">
        <f ca="1">IF(LEN(INDIRECT(ADDRESS(ROW()-1, COLUMN())))=1,"",INDIRECT(ADDRESS(36,6))-INDIRECT(ADDRESS(36,7)))</f>
        <v>1</v>
      </c>
      <c r="J5" s="12">
        <f ca="1">IF(LEN(INDIRECT(ADDRESS(ROW()-1, COLUMN())))=1,"",INDIRECT(ADDRESS(42,7))-INDIRECT(ADDRESS(42,6)))</f>
        <v>4</v>
      </c>
      <c r="K5" s="13">
        <f ca="1">IF(LEN(INDIRECT(ADDRESS(ROW()-1, COLUMN())))=1,"",INDIRECT(ADDRESS(20,6))-INDIRECT(ADDRESS(20,7)))</f>
        <v>3</v>
      </c>
      <c r="L5" s="72"/>
      <c r="M5" s="12">
        <f ca="1">IF(COUNT(F5:K5)=0,"",SUM(F5:K5))</f>
        <v>13</v>
      </c>
      <c r="N5" s="77"/>
    </row>
    <row r="6" spans="2:14" ht="24" customHeight="1" x14ac:dyDescent="0.25">
      <c r="B6" s="64">
        <v>2</v>
      </c>
      <c r="C6" s="78" t="s">
        <v>70</v>
      </c>
      <c r="D6" s="79"/>
      <c r="E6" s="80"/>
      <c r="F6" s="14" t="str">
        <f ca="1">INDIRECT(ADDRESS(27,7))&amp;":"&amp;INDIRECT(ADDRESS(27,6))</f>
        <v>13:8</v>
      </c>
      <c r="G6" s="15" t="s">
        <v>5</v>
      </c>
      <c r="H6" s="16" t="str">
        <f ca="1">INDIRECT(ADDRESS(37,6))&amp;":"&amp;INDIRECT(ADDRESS(37,7))</f>
        <v>8:13</v>
      </c>
      <c r="I6" s="16" t="str">
        <f ca="1">INDIRECT(ADDRESS(41,7))&amp;":"&amp;INDIRECT(ADDRESS(41,6))</f>
        <v>13:5</v>
      </c>
      <c r="J6" s="16" t="str">
        <f ca="1">INDIRECT(ADDRESS(21,6))&amp;":"&amp;INDIRECT(ADDRESS(21,7))</f>
        <v>13:7</v>
      </c>
      <c r="K6" s="17" t="str">
        <f ca="1">INDIRECT(ADDRESS(30,6))&amp;":"&amp;INDIRECT(ADDRESS(30,7))</f>
        <v>13:2</v>
      </c>
      <c r="L6" s="72">
        <f ca="1">IF(COUNT(F7:K7)=0,"",COUNTIF(F7:K7,"&gt;0")+0.5*COUNTIF(F7:K7,0))</f>
        <v>4</v>
      </c>
      <c r="M6" s="12"/>
      <c r="N6" s="74">
        <v>1</v>
      </c>
    </row>
    <row r="7" spans="2:14" ht="24" customHeight="1" x14ac:dyDescent="0.25">
      <c r="B7" s="76"/>
      <c r="C7" s="78"/>
      <c r="D7" s="79"/>
      <c r="E7" s="80"/>
      <c r="F7" s="18">
        <f ca="1">IF(LEN(INDIRECT(ADDRESS(ROW()-1, COLUMN())))=1,"",INDIRECT(ADDRESS(27,7))-INDIRECT(ADDRESS(27,6)))</f>
        <v>5</v>
      </c>
      <c r="G7" s="19" t="s">
        <v>5</v>
      </c>
      <c r="H7" s="12">
        <f ca="1">IF(LEN(INDIRECT(ADDRESS(ROW()-1, COLUMN())))=1,"",INDIRECT(ADDRESS(37,6))-INDIRECT(ADDRESS(37,7)))</f>
        <v>-5</v>
      </c>
      <c r="I7" s="12">
        <f ca="1">IF(LEN(INDIRECT(ADDRESS(ROW()-1, COLUMN())))=1,"",INDIRECT(ADDRESS(41,7))-INDIRECT(ADDRESS(41,6)))</f>
        <v>8</v>
      </c>
      <c r="J7" s="12">
        <f ca="1">IF(LEN(INDIRECT(ADDRESS(ROW()-1, COLUMN())))=1,"",INDIRECT(ADDRESS(21,6))-INDIRECT(ADDRESS(21,7)))</f>
        <v>6</v>
      </c>
      <c r="K7" s="13">
        <f ca="1">IF(LEN(INDIRECT(ADDRESS(ROW()-1, COLUMN())))=1,"",INDIRECT(ADDRESS(30,6))-INDIRECT(ADDRESS(30,7)))</f>
        <v>11</v>
      </c>
      <c r="L7" s="72"/>
      <c r="M7" s="12">
        <f ca="1">IF(COUNT(F7:K7)=0,"",SUM(F7:K7))</f>
        <v>25</v>
      </c>
      <c r="N7" s="77"/>
    </row>
    <row r="8" spans="2:14" ht="24" customHeight="1" x14ac:dyDescent="0.25">
      <c r="B8" s="64">
        <v>3</v>
      </c>
      <c r="C8" s="66" t="s">
        <v>71</v>
      </c>
      <c r="D8" s="67"/>
      <c r="E8" s="68"/>
      <c r="F8" s="14" t="str">
        <f ca="1">INDIRECT(ADDRESS(31,6))&amp;":"&amp;INDIRECT(ADDRESS(31,7))</f>
        <v>3:13</v>
      </c>
      <c r="G8" s="16" t="str">
        <f ca="1">INDIRECT(ADDRESS(37,7))&amp;":"&amp;INDIRECT(ADDRESS(37,6))</f>
        <v>13:8</v>
      </c>
      <c r="H8" s="15" t="s">
        <v>5</v>
      </c>
      <c r="I8" s="16" t="str">
        <f ca="1">INDIRECT(ADDRESS(22,6))&amp;":"&amp;INDIRECT(ADDRESS(22,7))</f>
        <v>7:13</v>
      </c>
      <c r="J8" s="16" t="str">
        <f ca="1">INDIRECT(ADDRESS(26,7))&amp;":"&amp;INDIRECT(ADDRESS(26,6))</f>
        <v>13:10</v>
      </c>
      <c r="K8" s="17" t="str">
        <f ca="1">INDIRECT(ADDRESS(40,6))&amp;":"&amp;INDIRECT(ADDRESS(40,7))</f>
        <v>12:13</v>
      </c>
      <c r="L8" s="72">
        <f ca="1">IF(COUNT(F9:K9)=0,"",COUNTIF(F9:K9,"&gt;0")+0.5*COUNTIF(F9:K9,0))</f>
        <v>2</v>
      </c>
      <c r="M8" s="12"/>
      <c r="N8" s="74">
        <v>4</v>
      </c>
    </row>
    <row r="9" spans="2:14" ht="24" customHeight="1" x14ac:dyDescent="0.25">
      <c r="B9" s="76"/>
      <c r="C9" s="66"/>
      <c r="D9" s="67"/>
      <c r="E9" s="68"/>
      <c r="F9" s="18">
        <f ca="1">IF(LEN(INDIRECT(ADDRESS(ROW()-1, COLUMN())))=1,"",INDIRECT(ADDRESS(31,6))-INDIRECT(ADDRESS(31,7)))</f>
        <v>-10</v>
      </c>
      <c r="G9" s="12">
        <f ca="1">IF(LEN(INDIRECT(ADDRESS(ROW()-1, COLUMN())))=1,"",INDIRECT(ADDRESS(37,7))-INDIRECT(ADDRESS(37,6)))</f>
        <v>5</v>
      </c>
      <c r="H9" s="19" t="s">
        <v>5</v>
      </c>
      <c r="I9" s="12">
        <f ca="1">IF(LEN(INDIRECT(ADDRESS(ROW()-1, COLUMN())))=1,"",INDIRECT(ADDRESS(22,6))-INDIRECT(ADDRESS(22,7)))</f>
        <v>-6</v>
      </c>
      <c r="J9" s="12">
        <f ca="1">IF(LEN(INDIRECT(ADDRESS(ROW()-1, COLUMN())))=1,"",INDIRECT(ADDRESS(26,7))-INDIRECT(ADDRESS(26,6)))</f>
        <v>3</v>
      </c>
      <c r="K9" s="13">
        <f ca="1">IF(LEN(INDIRECT(ADDRESS(ROW()-1, COLUMN())))=1,"",INDIRECT(ADDRESS(40,6))-INDIRECT(ADDRESS(40,7)))</f>
        <v>-1</v>
      </c>
      <c r="L9" s="72"/>
      <c r="M9" s="12">
        <f ca="1">IF(COUNT(F9:K9)=0,"",SUM(F9:K9))</f>
        <v>-9</v>
      </c>
      <c r="N9" s="77"/>
    </row>
    <row r="10" spans="2:14" ht="24" customHeight="1" x14ac:dyDescent="0.25">
      <c r="B10" s="64">
        <v>4</v>
      </c>
      <c r="C10" s="66" t="s">
        <v>72</v>
      </c>
      <c r="D10" s="67"/>
      <c r="E10" s="68"/>
      <c r="F10" s="14" t="str">
        <f ca="1">INDIRECT(ADDRESS(36,7))&amp;":"&amp;INDIRECT(ADDRESS(36,6))</f>
        <v>8:9</v>
      </c>
      <c r="G10" s="16" t="str">
        <f ca="1">INDIRECT(ADDRESS(41,6))&amp;":"&amp;INDIRECT(ADDRESS(41,7))</f>
        <v>5:13</v>
      </c>
      <c r="H10" s="16" t="str">
        <f ca="1">INDIRECT(ADDRESS(22,7))&amp;":"&amp;INDIRECT(ADDRESS(22,6))</f>
        <v>13:7</v>
      </c>
      <c r="I10" s="15" t="s">
        <v>5</v>
      </c>
      <c r="J10" s="16" t="str">
        <f ca="1">INDIRECT(ADDRESS(32,6))&amp;":"&amp;INDIRECT(ADDRESS(32,7))</f>
        <v>10:13</v>
      </c>
      <c r="K10" s="17" t="str">
        <f ca="1">INDIRECT(ADDRESS(25,7))&amp;":"&amp;INDIRECT(ADDRESS(25,6))</f>
        <v>11:13</v>
      </c>
      <c r="L10" s="72">
        <f ca="1">IF(COUNT(F11:K11)=0,"",COUNTIF(F11:K11,"&gt;0")+0.5*COUNTIF(F11:K11,0))</f>
        <v>1</v>
      </c>
      <c r="M10" s="12"/>
      <c r="N10" s="74">
        <v>6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-1</v>
      </c>
      <c r="G11" s="12">
        <f ca="1">IF(LEN(INDIRECT(ADDRESS(ROW()-1, COLUMN())))=1,"",INDIRECT(ADDRESS(41,6))-INDIRECT(ADDRESS(41,7)))</f>
        <v>-8</v>
      </c>
      <c r="H11" s="12">
        <f ca="1">IF(LEN(INDIRECT(ADDRESS(ROW()-1, COLUMN())))=1,"",INDIRECT(ADDRESS(22,7))-INDIRECT(ADDRESS(22,6)))</f>
        <v>6</v>
      </c>
      <c r="I11" s="19" t="s">
        <v>5</v>
      </c>
      <c r="J11" s="12">
        <f ca="1">IF(LEN(INDIRECT(ADDRESS(ROW()-1, COLUMN())))=1,"",INDIRECT(ADDRESS(32,6))-INDIRECT(ADDRESS(32,7)))</f>
        <v>-3</v>
      </c>
      <c r="K11" s="13">
        <f ca="1">IF(LEN(INDIRECT(ADDRESS(ROW()-1, COLUMN())))=1,"",INDIRECT(ADDRESS(25,7))-INDIRECT(ADDRESS(25,6)))</f>
        <v>-2</v>
      </c>
      <c r="L11" s="72"/>
      <c r="M11" s="12">
        <f ca="1">IF(COUNT(F11:K11)=0,"",SUM(F11:K11))</f>
        <v>-8</v>
      </c>
      <c r="N11" s="77"/>
    </row>
    <row r="12" spans="2:14" ht="24" customHeight="1" x14ac:dyDescent="0.25">
      <c r="B12" s="64">
        <v>5</v>
      </c>
      <c r="C12" s="66" t="s">
        <v>73</v>
      </c>
      <c r="D12" s="67"/>
      <c r="E12" s="68"/>
      <c r="F12" s="14" t="str">
        <f ca="1">INDIRECT(ADDRESS(42,6))&amp;":"&amp;INDIRECT(ADDRESS(42,7))</f>
        <v>9:13</v>
      </c>
      <c r="G12" s="16" t="str">
        <f ca="1">INDIRECT(ADDRESS(21,7))&amp;":"&amp;INDIRECT(ADDRESS(21,6))</f>
        <v>7:13</v>
      </c>
      <c r="H12" s="16" t="str">
        <f ca="1">INDIRECT(ADDRESS(26,6))&amp;":"&amp;INDIRECT(ADDRESS(26,7))</f>
        <v>10:13</v>
      </c>
      <c r="I12" s="16" t="str">
        <f ca="1">INDIRECT(ADDRESS(32,7))&amp;":"&amp;INDIRECT(ADDRESS(32,6))</f>
        <v>13:10</v>
      </c>
      <c r="J12" s="15" t="s">
        <v>5</v>
      </c>
      <c r="K12" s="17" t="str">
        <f ca="1">INDIRECT(ADDRESS(35,7))&amp;":"&amp;INDIRECT(ADDRESS(35,6))</f>
        <v>8:13</v>
      </c>
      <c r="L12" s="72">
        <f ca="1">IF(COUNT(F13:K13)=0,"",COUNTIF(F13:K13,"&gt;0")+0.5*COUNTIF(F13:K13,0))</f>
        <v>1</v>
      </c>
      <c r="M12" s="12"/>
      <c r="N12" s="74">
        <v>5</v>
      </c>
    </row>
    <row r="13" spans="2:14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-4</v>
      </c>
      <c r="G13" s="12">
        <f ca="1">IF(LEN(INDIRECT(ADDRESS(ROW()-1, COLUMN())))=1,"",INDIRECT(ADDRESS(21,7))-INDIRECT(ADDRESS(21,6)))</f>
        <v>-6</v>
      </c>
      <c r="H13" s="12">
        <f ca="1">IF(LEN(INDIRECT(ADDRESS(ROW()-1, COLUMN())))=1,"",INDIRECT(ADDRESS(26,6))-INDIRECT(ADDRESS(26,7)))</f>
        <v>-3</v>
      </c>
      <c r="I13" s="12">
        <f ca="1">IF(LEN(INDIRECT(ADDRESS(ROW()-1, COLUMN())))=1,"",INDIRECT(ADDRESS(32,7))-INDIRECT(ADDRESS(32,6)))</f>
        <v>3</v>
      </c>
      <c r="J13" s="19" t="s">
        <v>5</v>
      </c>
      <c r="K13" s="13">
        <f ca="1">IF(LEN(INDIRECT(ADDRESS(ROW()-1, COLUMN())))=1,"",INDIRECT(ADDRESS(35,7))-INDIRECT(ADDRESS(35,6)))</f>
        <v>-5</v>
      </c>
      <c r="L13" s="72"/>
      <c r="M13" s="12">
        <f ca="1">IF(COUNT(F13:K13)=0,"",SUM(F13:K13))</f>
        <v>-15</v>
      </c>
      <c r="N13" s="77"/>
    </row>
    <row r="14" spans="2:14" ht="24" customHeight="1" x14ac:dyDescent="0.25">
      <c r="B14" s="64">
        <v>6</v>
      </c>
      <c r="C14" s="66" t="s">
        <v>74</v>
      </c>
      <c r="D14" s="67"/>
      <c r="E14" s="68"/>
      <c r="F14" s="14" t="str">
        <f ca="1">INDIRECT(ADDRESS(20,7))&amp;":"&amp;INDIRECT(ADDRESS(20,6))</f>
        <v>10:13</v>
      </c>
      <c r="G14" s="16" t="str">
        <f ca="1">INDIRECT(ADDRESS(30,7))&amp;":"&amp;INDIRECT(ADDRESS(30,6))</f>
        <v>2:13</v>
      </c>
      <c r="H14" s="16" t="str">
        <f ca="1">INDIRECT(ADDRESS(40,7))&amp;":"&amp;INDIRECT(ADDRESS(40,6))</f>
        <v>13:12</v>
      </c>
      <c r="I14" s="16" t="str">
        <f ca="1">INDIRECT(ADDRESS(25,6))&amp;":"&amp;INDIRECT(ADDRESS(25,7))</f>
        <v>13:11</v>
      </c>
      <c r="J14" s="16" t="str">
        <f ca="1">INDIRECT(ADDRESS(35,6))&amp;":"&amp;INDIRECT(ADDRESS(35,7))</f>
        <v>13:8</v>
      </c>
      <c r="K14" s="20" t="s">
        <v>5</v>
      </c>
      <c r="L14" s="72">
        <f ca="1">IF(COUNT(F15:K15)=0,"",COUNTIF(F15:K15,"&gt;0")+0.5*COUNTIF(F15:K15,0))</f>
        <v>3</v>
      </c>
      <c r="M14" s="12"/>
      <c r="N14" s="74">
        <v>3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-3</v>
      </c>
      <c r="G15" s="22">
        <f ca="1">IF(LEN(INDIRECT(ADDRESS(ROW()-1, COLUMN())))=1,"",INDIRECT(ADDRESS(30,7))-INDIRECT(ADDRESS(30,6)))</f>
        <v>-11</v>
      </c>
      <c r="H15" s="22">
        <f ca="1">IF(LEN(INDIRECT(ADDRESS(ROW()-1, COLUMN())))=1,"",INDIRECT(ADDRESS(40,7))-INDIRECT(ADDRESS(40,6)))</f>
        <v>1</v>
      </c>
      <c r="I15" s="22">
        <f ca="1">IF(LEN(INDIRECT(ADDRESS(ROW()-1, COLUMN())))=1,"",INDIRECT(ADDRESS(25,6))-INDIRECT(ADDRESS(25,7)))</f>
        <v>2</v>
      </c>
      <c r="J15" s="22">
        <f ca="1">IF(LEN(INDIRECT(ADDRESS(ROW()-1, COLUMN())))=1,"",INDIRECT(ADDRESS(35,6))-INDIRECT(ADDRESS(35,7)))</f>
        <v>5</v>
      </c>
      <c r="K15" s="23" t="s">
        <v>5</v>
      </c>
      <c r="L15" s="73"/>
      <c r="M15" s="22">
        <f ca="1">IF(COUNT(F15:K15)=0,"",SUM(F15:K15))</f>
        <v>-6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Пелевин А</v>
      </c>
      <c r="D20" s="100"/>
      <c r="E20" s="101"/>
      <c r="F20" s="38">
        <v>13</v>
      </c>
      <c r="G20" s="39">
        <v>10</v>
      </c>
      <c r="H20" s="102" t="str">
        <f ca="1">IF(ISBLANK(INDIRECT(ADDRESS(K20*2+2,3))),"",INDIRECT(ADDRESS(K20*2+2,3)))</f>
        <v>Николаев А</v>
      </c>
      <c r="I20" s="100"/>
      <c r="J20" s="100"/>
      <c r="K20" s="37">
        <v>6</v>
      </c>
      <c r="L20" s="40" t="s">
        <v>13</v>
      </c>
      <c r="M20" s="28"/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Зимин М</v>
      </c>
      <c r="D21" s="100"/>
      <c r="E21" s="101"/>
      <c r="F21" s="38">
        <v>13</v>
      </c>
      <c r="G21" s="39">
        <v>7</v>
      </c>
      <c r="H21" s="102" t="str">
        <f ca="1">IF(ISBLANK(INDIRECT(ADDRESS(K21*2+2,3))),"",INDIRECT(ADDRESS(K21*2+2,3)))</f>
        <v>Уланкин Е</v>
      </c>
      <c r="I21" s="100"/>
      <c r="J21" s="100"/>
      <c r="K21" s="37">
        <v>5</v>
      </c>
      <c r="L21" s="40" t="s">
        <v>13</v>
      </c>
      <c r="M21" s="28"/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Гаркавый В</v>
      </c>
      <c r="D22" s="100"/>
      <c r="E22" s="101"/>
      <c r="F22" s="38">
        <v>7</v>
      </c>
      <c r="G22" s="39">
        <v>13</v>
      </c>
      <c r="H22" s="102" t="str">
        <f ca="1">IF(ISBLANK(INDIRECT(ADDRESS(K22*2+2,3))),"",INDIRECT(ADDRESS(K22*2+2,3)))</f>
        <v>Гедройц А</v>
      </c>
      <c r="I22" s="100"/>
      <c r="J22" s="100"/>
      <c r="K22" s="37">
        <v>4</v>
      </c>
      <c r="L22" s="40" t="s">
        <v>13</v>
      </c>
      <c r="M22" s="28"/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Николаев А</v>
      </c>
      <c r="D25" s="100"/>
      <c r="E25" s="101"/>
      <c r="F25" s="38">
        <v>13</v>
      </c>
      <c r="G25" s="39">
        <v>11</v>
      </c>
      <c r="H25" s="102" t="str">
        <f ca="1">IF(ISBLANK(INDIRECT(ADDRESS(K25*2+2,3))),"",INDIRECT(ADDRESS(K25*2+2,3)))</f>
        <v>Гедройц А</v>
      </c>
      <c r="I25" s="100"/>
      <c r="J25" s="100"/>
      <c r="K25" s="37">
        <v>4</v>
      </c>
      <c r="L25" s="40" t="s">
        <v>13</v>
      </c>
      <c r="M25" s="28"/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Уланкин Е</v>
      </c>
      <c r="D26" s="100"/>
      <c r="E26" s="101"/>
      <c r="F26" s="38">
        <v>10</v>
      </c>
      <c r="G26" s="39">
        <v>13</v>
      </c>
      <c r="H26" s="102" t="str">
        <f ca="1">IF(ISBLANK(INDIRECT(ADDRESS(K26*2+2,3))),"",INDIRECT(ADDRESS(K26*2+2,3)))</f>
        <v>Гаркавый В</v>
      </c>
      <c r="I26" s="100"/>
      <c r="J26" s="100"/>
      <c r="K26" s="37">
        <v>3</v>
      </c>
      <c r="L26" s="40" t="s">
        <v>13</v>
      </c>
      <c r="M26" s="28"/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Пелевин А</v>
      </c>
      <c r="D27" s="100"/>
      <c r="E27" s="101"/>
      <c r="F27" s="38">
        <v>8</v>
      </c>
      <c r="G27" s="39">
        <v>13</v>
      </c>
      <c r="H27" s="102" t="str">
        <f ca="1">IF(ISBLANK(INDIRECT(ADDRESS(K27*2+2,3))),"",INDIRECT(ADDRESS(K27*2+2,3)))</f>
        <v>Зимин М</v>
      </c>
      <c r="I27" s="100"/>
      <c r="J27" s="100"/>
      <c r="K27" s="37">
        <v>2</v>
      </c>
      <c r="L27" s="40" t="s">
        <v>13</v>
      </c>
      <c r="M27" s="28"/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Зимин М</v>
      </c>
      <c r="D30" s="100"/>
      <c r="E30" s="101"/>
      <c r="F30" s="38">
        <v>13</v>
      </c>
      <c r="G30" s="39">
        <v>2</v>
      </c>
      <c r="H30" s="102" t="str">
        <f ca="1">IF(ISBLANK(INDIRECT(ADDRESS(K30*2+2,3))),"",INDIRECT(ADDRESS(K30*2+2,3)))</f>
        <v>Николаев А</v>
      </c>
      <c r="I30" s="100"/>
      <c r="J30" s="100"/>
      <c r="K30" s="37">
        <v>6</v>
      </c>
      <c r="L30" s="40" t="s">
        <v>13</v>
      </c>
      <c r="M30" s="28"/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Гаркавый В</v>
      </c>
      <c r="D31" s="100"/>
      <c r="E31" s="101"/>
      <c r="F31" s="38">
        <v>3</v>
      </c>
      <c r="G31" s="39">
        <v>13</v>
      </c>
      <c r="H31" s="102" t="str">
        <f ca="1">IF(ISBLANK(INDIRECT(ADDRESS(K31*2+2,3))),"",INDIRECT(ADDRESS(K31*2+2,3)))</f>
        <v>Пелевин А</v>
      </c>
      <c r="I31" s="100"/>
      <c r="J31" s="100"/>
      <c r="K31" s="37">
        <v>1</v>
      </c>
      <c r="L31" s="40" t="s">
        <v>13</v>
      </c>
      <c r="M31" s="28"/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Гедройц А</v>
      </c>
      <c r="D32" s="100"/>
      <c r="E32" s="101"/>
      <c r="F32" s="38">
        <v>10</v>
      </c>
      <c r="G32" s="39">
        <v>13</v>
      </c>
      <c r="H32" s="102" t="str">
        <f ca="1">IF(ISBLANK(INDIRECT(ADDRESS(K32*2+2,3))),"",INDIRECT(ADDRESS(K32*2+2,3)))</f>
        <v>Уланкин Е</v>
      </c>
      <c r="I32" s="100"/>
      <c r="J32" s="100"/>
      <c r="K32" s="37">
        <v>5</v>
      </c>
      <c r="L32" s="40" t="s">
        <v>13</v>
      </c>
      <c r="M32" s="28"/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Николаев А</v>
      </c>
      <c r="D35" s="100"/>
      <c r="E35" s="101"/>
      <c r="F35" s="38">
        <v>13</v>
      </c>
      <c r="G35" s="39">
        <v>8</v>
      </c>
      <c r="H35" s="102" t="str">
        <f ca="1">IF(ISBLANK(INDIRECT(ADDRESS(K35*2+2,3))),"",INDIRECT(ADDRESS(K35*2+2,3)))</f>
        <v>Уланкин Е</v>
      </c>
      <c r="I35" s="100"/>
      <c r="J35" s="100"/>
      <c r="K35" s="37">
        <v>5</v>
      </c>
      <c r="L35" s="40" t="s">
        <v>13</v>
      </c>
      <c r="M35" s="28"/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Пелевин А</v>
      </c>
      <c r="D36" s="100"/>
      <c r="E36" s="101"/>
      <c r="F36" s="38">
        <v>9</v>
      </c>
      <c r="G36" s="39">
        <v>8</v>
      </c>
      <c r="H36" s="102" t="str">
        <f ca="1">IF(ISBLANK(INDIRECT(ADDRESS(K36*2+2,3))),"",INDIRECT(ADDRESS(K36*2+2,3)))</f>
        <v>Гедройц А</v>
      </c>
      <c r="I36" s="100"/>
      <c r="J36" s="100"/>
      <c r="K36" s="37">
        <v>4</v>
      </c>
      <c r="L36" s="40" t="s">
        <v>13</v>
      </c>
      <c r="M36" s="28"/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Зимин М</v>
      </c>
      <c r="D37" s="100"/>
      <c r="E37" s="101"/>
      <c r="F37" s="38">
        <v>8</v>
      </c>
      <c r="G37" s="39">
        <v>13</v>
      </c>
      <c r="H37" s="102" t="str">
        <f ca="1">IF(ISBLANK(INDIRECT(ADDRESS(K37*2+2,3))),"",INDIRECT(ADDRESS(K37*2+2,3)))</f>
        <v>Гаркавый В</v>
      </c>
      <c r="I37" s="100"/>
      <c r="J37" s="100"/>
      <c r="K37" s="37">
        <v>3</v>
      </c>
      <c r="L37" s="40" t="s">
        <v>13</v>
      </c>
      <c r="M37" s="28"/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Гаркавый В</v>
      </c>
      <c r="D40" s="100"/>
      <c r="E40" s="101"/>
      <c r="F40" s="38">
        <v>12</v>
      </c>
      <c r="G40" s="39">
        <v>13</v>
      </c>
      <c r="H40" s="102" t="str">
        <f ca="1">IF(ISBLANK(INDIRECT(ADDRESS(K40*2+2,3))),"",INDIRECT(ADDRESS(K40*2+2,3)))</f>
        <v>Николаев А</v>
      </c>
      <c r="I40" s="100"/>
      <c r="J40" s="100"/>
      <c r="K40" s="37">
        <v>6</v>
      </c>
      <c r="L40" s="40" t="s">
        <v>13</v>
      </c>
      <c r="M40" s="28"/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Гедройц А</v>
      </c>
      <c r="D41" s="100"/>
      <c r="E41" s="101"/>
      <c r="F41" s="38">
        <v>5</v>
      </c>
      <c r="G41" s="39">
        <v>13</v>
      </c>
      <c r="H41" s="102" t="str">
        <f ca="1">IF(ISBLANK(INDIRECT(ADDRESS(K41*2+2,3))),"",INDIRECT(ADDRESS(K41*2+2,3)))</f>
        <v>Зимин М</v>
      </c>
      <c r="I41" s="100"/>
      <c r="J41" s="100"/>
      <c r="K41" s="37">
        <v>2</v>
      </c>
      <c r="L41" s="40" t="s">
        <v>13</v>
      </c>
      <c r="M41" s="28"/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Уланкин Е</v>
      </c>
      <c r="D42" s="100"/>
      <c r="E42" s="101"/>
      <c r="F42" s="38">
        <v>9</v>
      </c>
      <c r="G42" s="39">
        <v>13</v>
      </c>
      <c r="H42" s="102" t="str">
        <f ca="1">IF(ISBLANK(INDIRECT(ADDRESS(K42*2+2,3))),"",INDIRECT(ADDRESS(K42*2+2,3)))</f>
        <v>Пелевин А</v>
      </c>
      <c r="I42" s="100"/>
      <c r="J42" s="100"/>
      <c r="K42" s="37">
        <v>1</v>
      </c>
      <c r="L42" s="40" t="s">
        <v>13</v>
      </c>
      <c r="M42" s="28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B1" sqref="B1:N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84" t="s">
        <v>27</v>
      </c>
      <c r="C1" s="84"/>
      <c r="D1" s="84"/>
      <c r="E1" s="84"/>
      <c r="F1" s="84"/>
      <c r="G1" s="84"/>
      <c r="H1" s="84"/>
      <c r="I1" s="84"/>
      <c r="J1" s="84"/>
      <c r="K1" s="84"/>
      <c r="L1" t="s">
        <v>54</v>
      </c>
      <c r="M1" t="s">
        <v>20</v>
      </c>
      <c r="N1" s="30">
        <v>45305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89" t="s">
        <v>75</v>
      </c>
      <c r="D4" s="90"/>
      <c r="E4" s="91"/>
      <c r="F4" s="7" t="s">
        <v>5</v>
      </c>
      <c r="G4" s="8" t="str">
        <f ca="1">INDIRECT(ADDRESS(27,6))&amp;":"&amp;INDIRECT(ADDRESS(27,7))</f>
        <v>13:7</v>
      </c>
      <c r="H4" s="8" t="str">
        <f ca="1">INDIRECT(ADDRESS(31,7))&amp;":"&amp;INDIRECT(ADDRESS(31,6))</f>
        <v>13:4</v>
      </c>
      <c r="I4" s="8" t="str">
        <f ca="1">INDIRECT(ADDRESS(36,6))&amp;":"&amp;INDIRECT(ADDRESS(36,7))</f>
        <v>13:2</v>
      </c>
      <c r="J4" s="8" t="str">
        <f ca="1">INDIRECT(ADDRESS(42,7))&amp;":"&amp;INDIRECT(ADDRESS(42,6))</f>
        <v>13:7</v>
      </c>
      <c r="K4" s="9" t="str">
        <f ca="1">INDIRECT(ADDRESS(20,6))&amp;":"&amp;INDIRECT(ADDRESS(20,7))</f>
        <v>13:4</v>
      </c>
      <c r="L4" s="92">
        <f ca="1">IF(COUNT(F5:K5)=0,"",COUNTIF(F5:K5,"&gt;0")+0.5*COUNTIF(F5:K5,0))</f>
        <v>5</v>
      </c>
      <c r="M4" s="10"/>
      <c r="N4" s="121">
        <v>1</v>
      </c>
    </row>
    <row r="5" spans="2:14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6</v>
      </c>
      <c r="H5" s="12">
        <f ca="1">IF(LEN(INDIRECT(ADDRESS(ROW()-1, COLUMN())))=1,"",INDIRECT(ADDRESS(31,7))-INDIRECT(ADDRESS(31,6)))</f>
        <v>9</v>
      </c>
      <c r="I5" s="12">
        <f ca="1">IF(LEN(INDIRECT(ADDRESS(ROW()-1, COLUMN())))=1,"",INDIRECT(ADDRESS(36,6))-INDIRECT(ADDRESS(36,7)))</f>
        <v>11</v>
      </c>
      <c r="J5" s="12">
        <f ca="1">IF(LEN(INDIRECT(ADDRESS(ROW()-1, COLUMN())))=1,"",INDIRECT(ADDRESS(42,7))-INDIRECT(ADDRESS(42,6)))</f>
        <v>6</v>
      </c>
      <c r="K5" s="13">
        <f ca="1">IF(LEN(INDIRECT(ADDRESS(ROW()-1, COLUMN())))=1,"",INDIRECT(ADDRESS(20,6))-INDIRECT(ADDRESS(20,7)))</f>
        <v>9</v>
      </c>
      <c r="L5" s="72"/>
      <c r="M5" s="12">
        <f ca="1">IF(COUNT(F5:K5)=0,"",SUM(F5:K5))</f>
        <v>41</v>
      </c>
      <c r="N5" s="77"/>
    </row>
    <row r="6" spans="2:14" ht="24" customHeight="1" x14ac:dyDescent="0.25">
      <c r="B6" s="64">
        <v>2</v>
      </c>
      <c r="C6" s="78" t="s">
        <v>76</v>
      </c>
      <c r="D6" s="79"/>
      <c r="E6" s="80"/>
      <c r="F6" s="14" t="str">
        <f ca="1">INDIRECT(ADDRESS(27,7))&amp;":"&amp;INDIRECT(ADDRESS(27,6))</f>
        <v>7:13</v>
      </c>
      <c r="G6" s="15" t="s">
        <v>5</v>
      </c>
      <c r="H6" s="16" t="str">
        <f ca="1">INDIRECT(ADDRESS(37,6))&amp;":"&amp;INDIRECT(ADDRESS(37,7))</f>
        <v>3:13</v>
      </c>
      <c r="I6" s="16" t="str">
        <f ca="1">INDIRECT(ADDRESS(41,7))&amp;":"&amp;INDIRECT(ADDRESS(41,6))</f>
        <v>13:5</v>
      </c>
      <c r="J6" s="16" t="str">
        <f ca="1">INDIRECT(ADDRESS(21,6))&amp;":"&amp;INDIRECT(ADDRESS(21,7))</f>
        <v>12:11</v>
      </c>
      <c r="K6" s="17" t="str">
        <f ca="1">INDIRECT(ADDRESS(30,6))&amp;":"&amp;INDIRECT(ADDRESS(30,7))</f>
        <v>13:8</v>
      </c>
      <c r="L6" s="72">
        <f ca="1">IF(COUNT(F7:K7)=0,"",COUNTIF(F7:K7,"&gt;0")+0.5*COUNTIF(F7:K7,0))</f>
        <v>3</v>
      </c>
      <c r="M6" s="12"/>
      <c r="N6" s="74">
        <v>2</v>
      </c>
    </row>
    <row r="7" spans="2:14" ht="24" customHeight="1" x14ac:dyDescent="0.25">
      <c r="B7" s="76"/>
      <c r="C7" s="78"/>
      <c r="D7" s="79"/>
      <c r="E7" s="80"/>
      <c r="F7" s="18">
        <f ca="1">IF(LEN(INDIRECT(ADDRESS(ROW()-1, COLUMN())))=1,"",INDIRECT(ADDRESS(27,7))-INDIRECT(ADDRESS(27,6)))</f>
        <v>-6</v>
      </c>
      <c r="G7" s="19" t="s">
        <v>5</v>
      </c>
      <c r="H7" s="12">
        <f ca="1">IF(LEN(INDIRECT(ADDRESS(ROW()-1, COLUMN())))=1,"",INDIRECT(ADDRESS(37,6))-INDIRECT(ADDRESS(37,7)))</f>
        <v>-10</v>
      </c>
      <c r="I7" s="12">
        <f ca="1">IF(LEN(INDIRECT(ADDRESS(ROW()-1, COLUMN())))=1,"",INDIRECT(ADDRESS(41,7))-INDIRECT(ADDRESS(41,6)))</f>
        <v>8</v>
      </c>
      <c r="J7" s="12">
        <f ca="1">IF(LEN(INDIRECT(ADDRESS(ROW()-1, COLUMN())))=1,"",INDIRECT(ADDRESS(21,6))-INDIRECT(ADDRESS(21,7)))</f>
        <v>1</v>
      </c>
      <c r="K7" s="13">
        <f ca="1">IF(LEN(INDIRECT(ADDRESS(ROW()-1, COLUMN())))=1,"",INDIRECT(ADDRESS(30,6))-INDIRECT(ADDRESS(30,7)))</f>
        <v>5</v>
      </c>
      <c r="L7" s="72"/>
      <c r="M7" s="12">
        <f ca="1">IF(COUNT(F7:K7)=0,"",SUM(F7:K7))</f>
        <v>-2</v>
      </c>
      <c r="N7" s="77"/>
    </row>
    <row r="8" spans="2:14" ht="24" customHeight="1" x14ac:dyDescent="0.25">
      <c r="B8" s="64">
        <v>3</v>
      </c>
      <c r="C8" s="66" t="s">
        <v>77</v>
      </c>
      <c r="D8" s="67"/>
      <c r="E8" s="68"/>
      <c r="F8" s="14" t="str">
        <f ca="1">INDIRECT(ADDRESS(31,6))&amp;":"&amp;INDIRECT(ADDRESS(31,7))</f>
        <v>4:13</v>
      </c>
      <c r="G8" s="16" t="str">
        <f ca="1">INDIRECT(ADDRESS(37,7))&amp;":"&amp;INDIRECT(ADDRESS(37,6))</f>
        <v>13:3</v>
      </c>
      <c r="H8" s="15" t="s">
        <v>5</v>
      </c>
      <c r="I8" s="16" t="str">
        <f ca="1">INDIRECT(ADDRESS(22,6))&amp;":"&amp;INDIRECT(ADDRESS(22,7))</f>
        <v>8:13</v>
      </c>
      <c r="J8" s="16" t="str">
        <f ca="1">INDIRECT(ADDRESS(26,7))&amp;":"&amp;INDIRECT(ADDRESS(26,6))</f>
        <v>10:13</v>
      </c>
      <c r="K8" s="17" t="str">
        <f ca="1">INDIRECT(ADDRESS(40,6))&amp;":"&amp;INDIRECT(ADDRESS(40,7))</f>
        <v>2:13</v>
      </c>
      <c r="L8" s="72">
        <f ca="1">IF(COUNT(F9:K9)=0,"",COUNTIF(F9:K9,"&gt;0")+0.5*COUNTIF(F9:K9,0))</f>
        <v>1</v>
      </c>
      <c r="M8" s="12"/>
      <c r="N8" s="74">
        <v>6</v>
      </c>
    </row>
    <row r="9" spans="2:14" ht="24" customHeight="1" x14ac:dyDescent="0.25">
      <c r="B9" s="76"/>
      <c r="C9" s="66"/>
      <c r="D9" s="67"/>
      <c r="E9" s="68"/>
      <c r="F9" s="18">
        <f ca="1">IF(LEN(INDIRECT(ADDRESS(ROW()-1, COLUMN())))=1,"",INDIRECT(ADDRESS(31,6))-INDIRECT(ADDRESS(31,7)))</f>
        <v>-9</v>
      </c>
      <c r="G9" s="12">
        <f ca="1">IF(LEN(INDIRECT(ADDRESS(ROW()-1, COLUMN())))=1,"",INDIRECT(ADDRESS(37,7))-INDIRECT(ADDRESS(37,6)))</f>
        <v>10</v>
      </c>
      <c r="H9" s="19" t="s">
        <v>5</v>
      </c>
      <c r="I9" s="12">
        <f ca="1">IF(LEN(INDIRECT(ADDRESS(ROW()-1, COLUMN())))=1,"",INDIRECT(ADDRESS(22,6))-INDIRECT(ADDRESS(22,7)))</f>
        <v>-5</v>
      </c>
      <c r="J9" s="12">
        <f ca="1">IF(LEN(INDIRECT(ADDRESS(ROW()-1, COLUMN())))=1,"",INDIRECT(ADDRESS(26,7))-INDIRECT(ADDRESS(26,6)))</f>
        <v>-3</v>
      </c>
      <c r="K9" s="13">
        <f ca="1">IF(LEN(INDIRECT(ADDRESS(ROW()-1, COLUMN())))=1,"",INDIRECT(ADDRESS(40,6))-INDIRECT(ADDRESS(40,7)))</f>
        <v>-11</v>
      </c>
      <c r="L9" s="72"/>
      <c r="M9" s="12">
        <f ca="1">IF(COUNT(F9:K9)=0,"",SUM(F9:K9))</f>
        <v>-18</v>
      </c>
      <c r="N9" s="77"/>
    </row>
    <row r="10" spans="2:14" ht="24" customHeight="1" x14ac:dyDescent="0.25">
      <c r="B10" s="64">
        <v>4</v>
      </c>
      <c r="C10" s="66" t="s">
        <v>78</v>
      </c>
      <c r="D10" s="67"/>
      <c r="E10" s="68"/>
      <c r="F10" s="14" t="str">
        <f ca="1">INDIRECT(ADDRESS(36,7))&amp;":"&amp;INDIRECT(ADDRESS(36,6))</f>
        <v>2:13</v>
      </c>
      <c r="G10" s="16" t="str">
        <f ca="1">INDIRECT(ADDRESS(41,6))&amp;":"&amp;INDIRECT(ADDRESS(41,7))</f>
        <v>5:13</v>
      </c>
      <c r="H10" s="16" t="str">
        <f ca="1">INDIRECT(ADDRESS(22,7))&amp;":"&amp;INDIRECT(ADDRESS(22,6))</f>
        <v>13:8</v>
      </c>
      <c r="I10" s="15" t="s">
        <v>5</v>
      </c>
      <c r="J10" s="16" t="str">
        <f ca="1">INDIRECT(ADDRESS(32,6))&amp;":"&amp;INDIRECT(ADDRESS(32,7))</f>
        <v>13:11</v>
      </c>
      <c r="K10" s="17" t="str">
        <f ca="1">INDIRECT(ADDRESS(25,7))&amp;":"&amp;INDIRECT(ADDRESS(25,6))</f>
        <v>13:4</v>
      </c>
      <c r="L10" s="72">
        <f ca="1">IF(COUNT(F11:K11)=0,"",COUNTIF(F11:K11,"&gt;0")+0.5*COUNTIF(F11:K11,0))</f>
        <v>3</v>
      </c>
      <c r="M10" s="12"/>
      <c r="N10" s="74">
        <v>3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-11</v>
      </c>
      <c r="G11" s="12">
        <f ca="1">IF(LEN(INDIRECT(ADDRESS(ROW()-1, COLUMN())))=1,"",INDIRECT(ADDRESS(41,6))-INDIRECT(ADDRESS(41,7)))</f>
        <v>-8</v>
      </c>
      <c r="H11" s="12">
        <f ca="1">IF(LEN(INDIRECT(ADDRESS(ROW()-1, COLUMN())))=1,"",INDIRECT(ADDRESS(22,7))-INDIRECT(ADDRESS(22,6)))</f>
        <v>5</v>
      </c>
      <c r="I11" s="19" t="s">
        <v>5</v>
      </c>
      <c r="J11" s="12">
        <f ca="1">IF(LEN(INDIRECT(ADDRESS(ROW()-1, COLUMN())))=1,"",INDIRECT(ADDRESS(32,6))-INDIRECT(ADDRESS(32,7)))</f>
        <v>2</v>
      </c>
      <c r="K11" s="13">
        <f ca="1">IF(LEN(INDIRECT(ADDRESS(ROW()-1, COLUMN())))=1,"",INDIRECT(ADDRESS(25,7))-INDIRECT(ADDRESS(25,6)))</f>
        <v>9</v>
      </c>
      <c r="L11" s="72"/>
      <c r="M11" s="12">
        <f ca="1">IF(COUNT(F11:K11)=0,"",SUM(F11:K11))</f>
        <v>-3</v>
      </c>
      <c r="N11" s="77"/>
    </row>
    <row r="12" spans="2:14" ht="24" customHeight="1" x14ac:dyDescent="0.25">
      <c r="B12" s="64">
        <v>5</v>
      </c>
      <c r="C12" s="66" t="s">
        <v>79</v>
      </c>
      <c r="D12" s="67"/>
      <c r="E12" s="68"/>
      <c r="F12" s="14" t="str">
        <f ca="1">INDIRECT(ADDRESS(42,6))&amp;":"&amp;INDIRECT(ADDRESS(42,7))</f>
        <v>7:13</v>
      </c>
      <c r="G12" s="16" t="str">
        <f ca="1">INDIRECT(ADDRESS(21,7))&amp;":"&amp;INDIRECT(ADDRESS(21,6))</f>
        <v>11:12</v>
      </c>
      <c r="H12" s="16" t="str">
        <f ca="1">INDIRECT(ADDRESS(26,6))&amp;":"&amp;INDIRECT(ADDRESS(26,7))</f>
        <v>13:10</v>
      </c>
      <c r="I12" s="16" t="str">
        <f ca="1">INDIRECT(ADDRESS(32,7))&amp;":"&amp;INDIRECT(ADDRESS(32,6))</f>
        <v>11:13</v>
      </c>
      <c r="J12" s="15" t="s">
        <v>5</v>
      </c>
      <c r="K12" s="17" t="str">
        <f ca="1">INDIRECT(ADDRESS(35,7))&amp;":"&amp;INDIRECT(ADDRESS(35,6))</f>
        <v>13:9</v>
      </c>
      <c r="L12" s="72">
        <f ca="1">IF(COUNT(F13:K13)=0,"",COUNTIF(F13:K13,"&gt;0")+0.5*COUNTIF(F13:K13,0))</f>
        <v>2</v>
      </c>
      <c r="M12" s="12"/>
      <c r="N12" s="74">
        <v>4</v>
      </c>
    </row>
    <row r="13" spans="2:14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-6</v>
      </c>
      <c r="G13" s="12">
        <f ca="1">IF(LEN(INDIRECT(ADDRESS(ROW()-1, COLUMN())))=1,"",INDIRECT(ADDRESS(21,7))-INDIRECT(ADDRESS(21,6)))</f>
        <v>-1</v>
      </c>
      <c r="H13" s="12">
        <f ca="1">IF(LEN(INDIRECT(ADDRESS(ROW()-1, COLUMN())))=1,"",INDIRECT(ADDRESS(26,6))-INDIRECT(ADDRESS(26,7)))</f>
        <v>3</v>
      </c>
      <c r="I13" s="12">
        <f ca="1">IF(LEN(INDIRECT(ADDRESS(ROW()-1, COLUMN())))=1,"",INDIRECT(ADDRESS(32,7))-INDIRECT(ADDRESS(32,6)))</f>
        <v>-2</v>
      </c>
      <c r="J13" s="19" t="s">
        <v>5</v>
      </c>
      <c r="K13" s="13">
        <f ca="1">IF(LEN(INDIRECT(ADDRESS(ROW()-1, COLUMN())))=1,"",INDIRECT(ADDRESS(35,7))-INDIRECT(ADDRESS(35,6)))</f>
        <v>4</v>
      </c>
      <c r="L13" s="72"/>
      <c r="M13" s="12">
        <f ca="1">IF(COUNT(F13:K13)=0,"",SUM(F13:K13))</f>
        <v>-2</v>
      </c>
      <c r="N13" s="77"/>
    </row>
    <row r="14" spans="2:14" ht="24" customHeight="1" x14ac:dyDescent="0.25">
      <c r="B14" s="64">
        <v>6</v>
      </c>
      <c r="C14" s="66" t="s">
        <v>80</v>
      </c>
      <c r="D14" s="67"/>
      <c r="E14" s="68"/>
      <c r="F14" s="14" t="str">
        <f ca="1">INDIRECT(ADDRESS(20,7))&amp;":"&amp;INDIRECT(ADDRESS(20,6))</f>
        <v>4:13</v>
      </c>
      <c r="G14" s="16" t="str">
        <f ca="1">INDIRECT(ADDRESS(30,7))&amp;":"&amp;INDIRECT(ADDRESS(30,6))</f>
        <v>8:13</v>
      </c>
      <c r="H14" s="16" t="str">
        <f ca="1">INDIRECT(ADDRESS(40,7))&amp;":"&amp;INDIRECT(ADDRESS(40,6))</f>
        <v>13:2</v>
      </c>
      <c r="I14" s="16" t="str">
        <f ca="1">INDIRECT(ADDRESS(25,6))&amp;":"&amp;INDIRECT(ADDRESS(25,7))</f>
        <v>4:13</v>
      </c>
      <c r="J14" s="16" t="str">
        <f ca="1">INDIRECT(ADDRESS(35,6))&amp;":"&amp;INDIRECT(ADDRESS(35,7))</f>
        <v>9:13</v>
      </c>
      <c r="K14" s="20" t="s">
        <v>5</v>
      </c>
      <c r="L14" s="72">
        <f ca="1">IF(COUNT(F15:K15)=0,"",COUNTIF(F15:K15,"&gt;0")+0.5*COUNTIF(F15:K15,0))</f>
        <v>1</v>
      </c>
      <c r="M14" s="12"/>
      <c r="N14" s="74">
        <v>5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-9</v>
      </c>
      <c r="G15" s="22">
        <f ca="1">IF(LEN(INDIRECT(ADDRESS(ROW()-1, COLUMN())))=1,"",INDIRECT(ADDRESS(30,7))-INDIRECT(ADDRESS(30,6)))</f>
        <v>-5</v>
      </c>
      <c r="H15" s="22">
        <f ca="1">IF(LEN(INDIRECT(ADDRESS(ROW()-1, COLUMN())))=1,"",INDIRECT(ADDRESS(40,7))-INDIRECT(ADDRESS(40,6)))</f>
        <v>11</v>
      </c>
      <c r="I15" s="22">
        <f ca="1">IF(LEN(INDIRECT(ADDRESS(ROW()-1, COLUMN())))=1,"",INDIRECT(ADDRESS(25,6))-INDIRECT(ADDRESS(25,7)))</f>
        <v>-9</v>
      </c>
      <c r="J15" s="22">
        <f ca="1">IF(LEN(INDIRECT(ADDRESS(ROW()-1, COLUMN())))=1,"",INDIRECT(ADDRESS(35,6))-INDIRECT(ADDRESS(35,7)))</f>
        <v>-4</v>
      </c>
      <c r="K15" s="23" t="s">
        <v>5</v>
      </c>
      <c r="L15" s="73"/>
      <c r="M15" s="22">
        <f ca="1">IF(COUNT(F15:K15)=0,"",SUM(F15:K15))</f>
        <v>-16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Иванов Ю</v>
      </c>
      <c r="D20" s="100"/>
      <c r="E20" s="101"/>
      <c r="F20" s="38">
        <v>13</v>
      </c>
      <c r="G20" s="39">
        <v>4</v>
      </c>
      <c r="H20" s="102" t="str">
        <f ca="1">IF(ISBLANK(INDIRECT(ADDRESS(K20*2+2,3))),"",INDIRECT(ADDRESS(K20*2+2,3)))</f>
        <v>Елсаков С</v>
      </c>
      <c r="I20" s="100"/>
      <c r="J20" s="100"/>
      <c r="K20" s="37">
        <v>6</v>
      </c>
      <c r="L20" s="40" t="s">
        <v>13</v>
      </c>
      <c r="M20" s="28"/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Капов И</v>
      </c>
      <c r="D21" s="100"/>
      <c r="E21" s="101"/>
      <c r="F21" s="38">
        <v>12</v>
      </c>
      <c r="G21" s="39">
        <v>11</v>
      </c>
      <c r="H21" s="102" t="str">
        <f ca="1">IF(ISBLANK(INDIRECT(ADDRESS(K21*2+2,3))),"",INDIRECT(ADDRESS(K21*2+2,3)))</f>
        <v>Анненков Д</v>
      </c>
      <c r="I21" s="100"/>
      <c r="J21" s="100"/>
      <c r="K21" s="37">
        <v>5</v>
      </c>
      <c r="L21" s="40" t="s">
        <v>13</v>
      </c>
      <c r="M21" s="28"/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Большаков В</v>
      </c>
      <c r="D22" s="100"/>
      <c r="E22" s="101"/>
      <c r="F22" s="38">
        <v>8</v>
      </c>
      <c r="G22" s="39">
        <v>13</v>
      </c>
      <c r="H22" s="102" t="str">
        <f ca="1">IF(ISBLANK(INDIRECT(ADDRESS(K22*2+2,3))),"",INDIRECT(ADDRESS(K22*2+2,3)))</f>
        <v>Пономаренко Ю</v>
      </c>
      <c r="I22" s="100"/>
      <c r="J22" s="100"/>
      <c r="K22" s="37">
        <v>4</v>
      </c>
      <c r="L22" s="40" t="s">
        <v>13</v>
      </c>
      <c r="M22" s="28"/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Елсаков С</v>
      </c>
      <c r="D25" s="100"/>
      <c r="E25" s="101"/>
      <c r="F25" s="38">
        <v>4</v>
      </c>
      <c r="G25" s="39">
        <v>13</v>
      </c>
      <c r="H25" s="102" t="str">
        <f ca="1">IF(ISBLANK(INDIRECT(ADDRESS(K25*2+2,3))),"",INDIRECT(ADDRESS(K25*2+2,3)))</f>
        <v>Пономаренко Ю</v>
      </c>
      <c r="I25" s="100"/>
      <c r="J25" s="100"/>
      <c r="K25" s="37">
        <v>4</v>
      </c>
      <c r="L25" s="40" t="s">
        <v>13</v>
      </c>
      <c r="M25" s="28"/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Анненков Д</v>
      </c>
      <c r="D26" s="100"/>
      <c r="E26" s="101"/>
      <c r="F26" s="38">
        <v>13</v>
      </c>
      <c r="G26" s="39">
        <v>10</v>
      </c>
      <c r="H26" s="102" t="str">
        <f ca="1">IF(ISBLANK(INDIRECT(ADDRESS(K26*2+2,3))),"",INDIRECT(ADDRESS(K26*2+2,3)))</f>
        <v>Большаков В</v>
      </c>
      <c r="I26" s="100"/>
      <c r="J26" s="100"/>
      <c r="K26" s="37">
        <v>3</v>
      </c>
      <c r="L26" s="40" t="s">
        <v>13</v>
      </c>
      <c r="M26" s="28"/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Иванов Ю</v>
      </c>
      <c r="D27" s="100"/>
      <c r="E27" s="101"/>
      <c r="F27" s="38">
        <v>13</v>
      </c>
      <c r="G27" s="39">
        <v>7</v>
      </c>
      <c r="H27" s="102" t="str">
        <f ca="1">IF(ISBLANK(INDIRECT(ADDRESS(K27*2+2,3))),"",INDIRECT(ADDRESS(K27*2+2,3)))</f>
        <v>Капов И</v>
      </c>
      <c r="I27" s="100"/>
      <c r="J27" s="100"/>
      <c r="K27" s="37">
        <v>2</v>
      </c>
      <c r="L27" s="40" t="s">
        <v>13</v>
      </c>
      <c r="M27" s="28"/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Капов И</v>
      </c>
      <c r="D30" s="100"/>
      <c r="E30" s="101"/>
      <c r="F30" s="38">
        <v>13</v>
      </c>
      <c r="G30" s="39">
        <v>8</v>
      </c>
      <c r="H30" s="102" t="str">
        <f ca="1">IF(ISBLANK(INDIRECT(ADDRESS(K30*2+2,3))),"",INDIRECT(ADDRESS(K30*2+2,3)))</f>
        <v>Елсаков С</v>
      </c>
      <c r="I30" s="100"/>
      <c r="J30" s="100"/>
      <c r="K30" s="37">
        <v>6</v>
      </c>
      <c r="L30" s="40" t="s">
        <v>13</v>
      </c>
      <c r="M30" s="28"/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Большаков В</v>
      </c>
      <c r="D31" s="100"/>
      <c r="E31" s="101"/>
      <c r="F31" s="38">
        <v>4</v>
      </c>
      <c r="G31" s="39">
        <v>13</v>
      </c>
      <c r="H31" s="102" t="str">
        <f ca="1">IF(ISBLANK(INDIRECT(ADDRESS(K31*2+2,3))),"",INDIRECT(ADDRESS(K31*2+2,3)))</f>
        <v>Иванов Ю</v>
      </c>
      <c r="I31" s="100"/>
      <c r="J31" s="100"/>
      <c r="K31" s="37">
        <v>1</v>
      </c>
      <c r="L31" s="40" t="s">
        <v>13</v>
      </c>
      <c r="M31" s="28"/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Пономаренко Ю</v>
      </c>
      <c r="D32" s="100"/>
      <c r="E32" s="101"/>
      <c r="F32" s="38">
        <v>13</v>
      </c>
      <c r="G32" s="39">
        <v>11</v>
      </c>
      <c r="H32" s="102" t="str">
        <f ca="1">IF(ISBLANK(INDIRECT(ADDRESS(K32*2+2,3))),"",INDIRECT(ADDRESS(K32*2+2,3)))</f>
        <v>Анненков Д</v>
      </c>
      <c r="I32" s="100"/>
      <c r="J32" s="100"/>
      <c r="K32" s="37">
        <v>5</v>
      </c>
      <c r="L32" s="40" t="s">
        <v>13</v>
      </c>
      <c r="M32" s="28"/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Елсаков С</v>
      </c>
      <c r="D35" s="100"/>
      <c r="E35" s="101"/>
      <c r="F35" s="38">
        <v>9</v>
      </c>
      <c r="G35" s="39">
        <v>13</v>
      </c>
      <c r="H35" s="102" t="str">
        <f ca="1">IF(ISBLANK(INDIRECT(ADDRESS(K35*2+2,3))),"",INDIRECT(ADDRESS(K35*2+2,3)))</f>
        <v>Анненков Д</v>
      </c>
      <c r="I35" s="100"/>
      <c r="J35" s="100"/>
      <c r="K35" s="37">
        <v>5</v>
      </c>
      <c r="L35" s="40" t="s">
        <v>13</v>
      </c>
      <c r="M35" s="28"/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Иванов Ю</v>
      </c>
      <c r="D36" s="100"/>
      <c r="E36" s="101"/>
      <c r="F36" s="38">
        <v>13</v>
      </c>
      <c r="G36" s="39">
        <v>2</v>
      </c>
      <c r="H36" s="102" t="str">
        <f ca="1">IF(ISBLANK(INDIRECT(ADDRESS(K36*2+2,3))),"",INDIRECT(ADDRESS(K36*2+2,3)))</f>
        <v>Пономаренко Ю</v>
      </c>
      <c r="I36" s="100"/>
      <c r="J36" s="100"/>
      <c r="K36" s="37">
        <v>4</v>
      </c>
      <c r="L36" s="40" t="s">
        <v>13</v>
      </c>
      <c r="M36" s="28"/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Капов И</v>
      </c>
      <c r="D37" s="100"/>
      <c r="E37" s="101"/>
      <c r="F37" s="38">
        <v>3</v>
      </c>
      <c r="G37" s="39">
        <v>13</v>
      </c>
      <c r="H37" s="102" t="str">
        <f ca="1">IF(ISBLANK(INDIRECT(ADDRESS(K37*2+2,3))),"",INDIRECT(ADDRESS(K37*2+2,3)))</f>
        <v>Большаков В</v>
      </c>
      <c r="I37" s="100"/>
      <c r="J37" s="100"/>
      <c r="K37" s="37">
        <v>3</v>
      </c>
      <c r="L37" s="40" t="s">
        <v>13</v>
      </c>
      <c r="M37" s="28"/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Большаков В</v>
      </c>
      <c r="D40" s="100"/>
      <c r="E40" s="101"/>
      <c r="F40" s="38">
        <v>2</v>
      </c>
      <c r="G40" s="39">
        <v>13</v>
      </c>
      <c r="H40" s="102" t="str">
        <f ca="1">IF(ISBLANK(INDIRECT(ADDRESS(K40*2+2,3))),"",INDIRECT(ADDRESS(K40*2+2,3)))</f>
        <v>Елсаков С</v>
      </c>
      <c r="I40" s="100"/>
      <c r="J40" s="100"/>
      <c r="K40" s="37">
        <v>6</v>
      </c>
      <c r="L40" s="40" t="s">
        <v>13</v>
      </c>
      <c r="M40" s="28"/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Пономаренко Ю</v>
      </c>
      <c r="D41" s="100"/>
      <c r="E41" s="101"/>
      <c r="F41" s="38">
        <v>5</v>
      </c>
      <c r="G41" s="39">
        <v>13</v>
      </c>
      <c r="H41" s="102" t="str">
        <f ca="1">IF(ISBLANK(INDIRECT(ADDRESS(K41*2+2,3))),"",INDIRECT(ADDRESS(K41*2+2,3)))</f>
        <v>Капов И</v>
      </c>
      <c r="I41" s="100"/>
      <c r="J41" s="100"/>
      <c r="K41" s="37">
        <v>2</v>
      </c>
      <c r="L41" s="40" t="s">
        <v>13</v>
      </c>
      <c r="M41" s="28"/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Анненков Д</v>
      </c>
      <c r="D42" s="100"/>
      <c r="E42" s="101"/>
      <c r="F42" s="38">
        <v>7</v>
      </c>
      <c r="G42" s="39">
        <v>13</v>
      </c>
      <c r="H42" s="102" t="str">
        <f ca="1">IF(ISBLANK(INDIRECT(ADDRESS(K42*2+2,3))),"",INDIRECT(ADDRESS(K42*2+2,3)))</f>
        <v>Иванов Ю</v>
      </c>
      <c r="I42" s="100"/>
      <c r="J42" s="100"/>
      <c r="K42" s="37">
        <v>1</v>
      </c>
      <c r="L42" s="40" t="s">
        <v>13</v>
      </c>
      <c r="M42" s="28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P11" sqref="P1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84" t="s">
        <v>33</v>
      </c>
      <c r="C1" s="84"/>
      <c r="D1" s="84"/>
      <c r="E1" s="84"/>
      <c r="F1" s="84"/>
      <c r="G1" s="84"/>
      <c r="H1" s="84"/>
      <c r="I1" s="84"/>
      <c r="J1" s="84"/>
      <c r="K1" s="84"/>
      <c r="L1" t="s">
        <v>54</v>
      </c>
      <c r="M1" t="s">
        <v>20</v>
      </c>
      <c r="N1" s="30">
        <v>45305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89" t="s">
        <v>81</v>
      </c>
      <c r="D4" s="90"/>
      <c r="E4" s="91"/>
      <c r="F4" s="7" t="s">
        <v>5</v>
      </c>
      <c r="G4" s="8" t="str">
        <f ca="1">INDIRECT(ADDRESS(27,6))&amp;":"&amp;INDIRECT(ADDRESS(27,7))</f>
        <v>7:13</v>
      </c>
      <c r="H4" s="8" t="str">
        <f ca="1">INDIRECT(ADDRESS(31,7))&amp;":"&amp;INDIRECT(ADDRESS(31,6))</f>
        <v>13:3</v>
      </c>
      <c r="I4" s="8" t="str">
        <f ca="1">INDIRECT(ADDRESS(36,6))&amp;":"&amp;INDIRECT(ADDRESS(36,7))</f>
        <v>13:6</v>
      </c>
      <c r="J4" s="8" t="str">
        <f ca="1">INDIRECT(ADDRESS(42,7))&amp;":"&amp;INDIRECT(ADDRESS(42,6))</f>
        <v>13:3</v>
      </c>
      <c r="K4" s="9" t="str">
        <f ca="1">INDIRECT(ADDRESS(20,6))&amp;":"&amp;INDIRECT(ADDRESS(20,7))</f>
        <v>13:12</v>
      </c>
      <c r="L4" s="92">
        <f ca="1">IF(COUNT(F5:K5)=0,"",COUNTIF(F5:K5,"&gt;0")+0.5*COUNTIF(F5:K5,0))</f>
        <v>4</v>
      </c>
      <c r="M4" s="10"/>
      <c r="N4" s="121">
        <v>2</v>
      </c>
    </row>
    <row r="5" spans="2:14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-6</v>
      </c>
      <c r="H5" s="12">
        <f ca="1">IF(LEN(INDIRECT(ADDRESS(ROW()-1, COLUMN())))=1,"",INDIRECT(ADDRESS(31,7))-INDIRECT(ADDRESS(31,6)))</f>
        <v>10</v>
      </c>
      <c r="I5" s="12">
        <f ca="1">IF(LEN(INDIRECT(ADDRESS(ROW()-1, COLUMN())))=1,"",INDIRECT(ADDRESS(36,6))-INDIRECT(ADDRESS(36,7)))</f>
        <v>7</v>
      </c>
      <c r="J5" s="12">
        <f ca="1">IF(LEN(INDIRECT(ADDRESS(ROW()-1, COLUMN())))=1,"",INDIRECT(ADDRESS(42,7))-INDIRECT(ADDRESS(42,6)))</f>
        <v>10</v>
      </c>
      <c r="K5" s="13">
        <f ca="1">IF(LEN(INDIRECT(ADDRESS(ROW()-1, COLUMN())))=1,"",INDIRECT(ADDRESS(20,6))-INDIRECT(ADDRESS(20,7)))</f>
        <v>1</v>
      </c>
      <c r="L5" s="72"/>
      <c r="M5" s="12">
        <f ca="1">IF(COUNT(F5:K5)=0,"",SUM(F5:K5))</f>
        <v>22</v>
      </c>
      <c r="N5" s="77"/>
    </row>
    <row r="6" spans="2:14" ht="24" customHeight="1" x14ac:dyDescent="0.25">
      <c r="B6" s="64">
        <v>2</v>
      </c>
      <c r="C6" s="78" t="s">
        <v>82</v>
      </c>
      <c r="D6" s="79"/>
      <c r="E6" s="80"/>
      <c r="F6" s="14" t="str">
        <f ca="1">INDIRECT(ADDRESS(27,7))&amp;":"&amp;INDIRECT(ADDRESS(27,6))</f>
        <v>13:7</v>
      </c>
      <c r="G6" s="15" t="s">
        <v>5</v>
      </c>
      <c r="H6" s="16" t="str">
        <f ca="1">INDIRECT(ADDRESS(37,6))&amp;":"&amp;INDIRECT(ADDRESS(37,7))</f>
        <v>13:10</v>
      </c>
      <c r="I6" s="16" t="str">
        <f ca="1">INDIRECT(ADDRESS(41,7))&amp;":"&amp;INDIRECT(ADDRESS(41,6))</f>
        <v>13:8</v>
      </c>
      <c r="J6" s="16" t="str">
        <f ca="1">INDIRECT(ADDRESS(21,6))&amp;":"&amp;INDIRECT(ADDRESS(21,7))</f>
        <v>13:3</v>
      </c>
      <c r="K6" s="17" t="str">
        <f ca="1">INDIRECT(ADDRESS(30,6))&amp;":"&amp;INDIRECT(ADDRESS(30,7))</f>
        <v>13:6</v>
      </c>
      <c r="L6" s="72">
        <f ca="1">IF(COUNT(F7:K7)=0,"",COUNTIF(F7:K7,"&gt;0")+0.5*COUNTIF(F7:K7,0))</f>
        <v>5</v>
      </c>
      <c r="M6" s="12"/>
      <c r="N6" s="74">
        <v>1</v>
      </c>
    </row>
    <row r="7" spans="2:14" ht="24" customHeight="1" x14ac:dyDescent="0.25">
      <c r="B7" s="76"/>
      <c r="C7" s="78"/>
      <c r="D7" s="79"/>
      <c r="E7" s="80"/>
      <c r="F7" s="18">
        <f ca="1">IF(LEN(INDIRECT(ADDRESS(ROW()-1, COLUMN())))=1,"",INDIRECT(ADDRESS(27,7))-INDIRECT(ADDRESS(27,6)))</f>
        <v>6</v>
      </c>
      <c r="G7" s="19" t="s">
        <v>5</v>
      </c>
      <c r="H7" s="12">
        <f ca="1">IF(LEN(INDIRECT(ADDRESS(ROW()-1, COLUMN())))=1,"",INDIRECT(ADDRESS(37,6))-INDIRECT(ADDRESS(37,7)))</f>
        <v>3</v>
      </c>
      <c r="I7" s="12">
        <f ca="1">IF(LEN(INDIRECT(ADDRESS(ROW()-1, COLUMN())))=1,"",INDIRECT(ADDRESS(41,7))-INDIRECT(ADDRESS(41,6)))</f>
        <v>5</v>
      </c>
      <c r="J7" s="12">
        <f ca="1">IF(LEN(INDIRECT(ADDRESS(ROW()-1, COLUMN())))=1,"",INDIRECT(ADDRESS(21,6))-INDIRECT(ADDRESS(21,7)))</f>
        <v>10</v>
      </c>
      <c r="K7" s="13">
        <f ca="1">IF(LEN(INDIRECT(ADDRESS(ROW()-1, COLUMN())))=1,"",INDIRECT(ADDRESS(30,6))-INDIRECT(ADDRESS(30,7)))</f>
        <v>7</v>
      </c>
      <c r="L7" s="72"/>
      <c r="M7" s="12">
        <f ca="1">IF(COUNT(F7:K7)=0,"",SUM(F7:K7))</f>
        <v>31</v>
      </c>
      <c r="N7" s="77"/>
    </row>
    <row r="8" spans="2:14" ht="24" customHeight="1" x14ac:dyDescent="0.25">
      <c r="B8" s="64">
        <v>3</v>
      </c>
      <c r="C8" s="66" t="s">
        <v>83</v>
      </c>
      <c r="D8" s="67"/>
      <c r="E8" s="68"/>
      <c r="F8" s="14" t="str">
        <f ca="1">INDIRECT(ADDRESS(31,6))&amp;":"&amp;INDIRECT(ADDRESS(31,7))</f>
        <v>3:13</v>
      </c>
      <c r="G8" s="16" t="str">
        <f ca="1">INDIRECT(ADDRESS(37,7))&amp;":"&amp;INDIRECT(ADDRESS(37,6))</f>
        <v>10:13</v>
      </c>
      <c r="H8" s="15" t="s">
        <v>5</v>
      </c>
      <c r="I8" s="16" t="str">
        <f ca="1">INDIRECT(ADDRESS(22,6))&amp;":"&amp;INDIRECT(ADDRESS(22,7))</f>
        <v>7:13</v>
      </c>
      <c r="J8" s="16" t="str">
        <f ca="1">INDIRECT(ADDRESS(26,7))&amp;":"&amp;INDIRECT(ADDRESS(26,6))</f>
        <v>13:12</v>
      </c>
      <c r="K8" s="17" t="str">
        <f ca="1">INDIRECT(ADDRESS(40,6))&amp;":"&amp;INDIRECT(ADDRESS(40,7))</f>
        <v>8:13</v>
      </c>
      <c r="L8" s="72">
        <f ca="1">IF(COUNT(F9:K9)=0,"",COUNTIF(F9:K9,"&gt;0")+0.5*COUNTIF(F9:K9,0))</f>
        <v>1</v>
      </c>
      <c r="M8" s="12"/>
      <c r="N8" s="74">
        <v>5</v>
      </c>
    </row>
    <row r="9" spans="2:14" ht="24" customHeight="1" x14ac:dyDescent="0.25">
      <c r="B9" s="76"/>
      <c r="C9" s="66"/>
      <c r="D9" s="67"/>
      <c r="E9" s="68"/>
      <c r="F9" s="18">
        <f ca="1">IF(LEN(INDIRECT(ADDRESS(ROW()-1, COLUMN())))=1,"",INDIRECT(ADDRESS(31,6))-INDIRECT(ADDRESS(31,7)))</f>
        <v>-10</v>
      </c>
      <c r="G9" s="12">
        <f ca="1">IF(LEN(INDIRECT(ADDRESS(ROW()-1, COLUMN())))=1,"",INDIRECT(ADDRESS(37,7))-INDIRECT(ADDRESS(37,6)))</f>
        <v>-3</v>
      </c>
      <c r="H9" s="19" t="s">
        <v>5</v>
      </c>
      <c r="I9" s="12">
        <f ca="1">IF(LEN(INDIRECT(ADDRESS(ROW()-1, COLUMN())))=1,"",INDIRECT(ADDRESS(22,6))-INDIRECT(ADDRESS(22,7)))</f>
        <v>-6</v>
      </c>
      <c r="J9" s="12">
        <f ca="1">IF(LEN(INDIRECT(ADDRESS(ROW()-1, COLUMN())))=1,"",INDIRECT(ADDRESS(26,7))-INDIRECT(ADDRESS(26,6)))</f>
        <v>1</v>
      </c>
      <c r="K9" s="13">
        <f ca="1">IF(LEN(INDIRECT(ADDRESS(ROW()-1, COLUMN())))=1,"",INDIRECT(ADDRESS(40,6))-INDIRECT(ADDRESS(40,7)))</f>
        <v>-5</v>
      </c>
      <c r="L9" s="72"/>
      <c r="M9" s="12">
        <f ca="1">IF(COUNT(F9:K9)=0,"",SUM(F9:K9))</f>
        <v>-23</v>
      </c>
      <c r="N9" s="77"/>
    </row>
    <row r="10" spans="2:14" ht="24" customHeight="1" x14ac:dyDescent="0.25">
      <c r="B10" s="64">
        <v>4</v>
      </c>
      <c r="C10" s="66" t="s">
        <v>84</v>
      </c>
      <c r="D10" s="67"/>
      <c r="E10" s="68"/>
      <c r="F10" s="14" t="str">
        <f ca="1">INDIRECT(ADDRESS(36,7))&amp;":"&amp;INDIRECT(ADDRESS(36,6))</f>
        <v>6:13</v>
      </c>
      <c r="G10" s="16" t="str">
        <f ca="1">INDIRECT(ADDRESS(41,6))&amp;":"&amp;INDIRECT(ADDRESS(41,7))</f>
        <v>8:13</v>
      </c>
      <c r="H10" s="16" t="str">
        <f ca="1">INDIRECT(ADDRESS(22,7))&amp;":"&amp;INDIRECT(ADDRESS(22,6))</f>
        <v>13:7</v>
      </c>
      <c r="I10" s="15" t="s">
        <v>5</v>
      </c>
      <c r="J10" s="16" t="str">
        <f ca="1">INDIRECT(ADDRESS(32,6))&amp;":"&amp;INDIRECT(ADDRESS(32,7))</f>
        <v>12:13</v>
      </c>
      <c r="K10" s="17" t="str">
        <f ca="1">INDIRECT(ADDRESS(25,7))&amp;":"&amp;INDIRECT(ADDRESS(25,6))</f>
        <v>13:7</v>
      </c>
      <c r="L10" s="72">
        <f ca="1">IF(COUNT(F11:K11)=0,"",COUNTIF(F11:K11,"&gt;0")+0.5*COUNTIF(F11:K11,0))</f>
        <v>2</v>
      </c>
      <c r="M10" s="12"/>
      <c r="N10" s="74">
        <v>3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-7</v>
      </c>
      <c r="G11" s="12">
        <f ca="1">IF(LEN(INDIRECT(ADDRESS(ROW()-1, COLUMN())))=1,"",INDIRECT(ADDRESS(41,6))-INDIRECT(ADDRESS(41,7)))</f>
        <v>-5</v>
      </c>
      <c r="H11" s="12">
        <f ca="1">IF(LEN(INDIRECT(ADDRESS(ROW()-1, COLUMN())))=1,"",INDIRECT(ADDRESS(22,7))-INDIRECT(ADDRESS(22,6)))</f>
        <v>6</v>
      </c>
      <c r="I11" s="19" t="s">
        <v>5</v>
      </c>
      <c r="J11" s="12">
        <f ca="1">IF(LEN(INDIRECT(ADDRESS(ROW()-1, COLUMN())))=1,"",INDIRECT(ADDRESS(32,6))-INDIRECT(ADDRESS(32,7)))</f>
        <v>-1</v>
      </c>
      <c r="K11" s="13">
        <f ca="1">IF(LEN(INDIRECT(ADDRESS(ROW()-1, COLUMN())))=1,"",INDIRECT(ADDRESS(25,7))-INDIRECT(ADDRESS(25,6)))</f>
        <v>6</v>
      </c>
      <c r="L11" s="72"/>
      <c r="M11" s="12">
        <f ca="1">IF(COUNT(F11:K11)=0,"",SUM(F11:K11))</f>
        <v>-1</v>
      </c>
      <c r="N11" s="77"/>
    </row>
    <row r="12" spans="2:14" ht="24" customHeight="1" x14ac:dyDescent="0.25">
      <c r="B12" s="64">
        <v>5</v>
      </c>
      <c r="C12" s="66" t="s">
        <v>85</v>
      </c>
      <c r="D12" s="67"/>
      <c r="E12" s="68"/>
      <c r="F12" s="14" t="str">
        <f ca="1">INDIRECT(ADDRESS(42,6))&amp;":"&amp;INDIRECT(ADDRESS(42,7))</f>
        <v>3:13</v>
      </c>
      <c r="G12" s="16" t="str">
        <f ca="1">INDIRECT(ADDRESS(21,7))&amp;":"&amp;INDIRECT(ADDRESS(21,6))</f>
        <v>3:13</v>
      </c>
      <c r="H12" s="16" t="str">
        <f ca="1">INDIRECT(ADDRESS(26,6))&amp;":"&amp;INDIRECT(ADDRESS(26,7))</f>
        <v>12:13</v>
      </c>
      <c r="I12" s="16" t="str">
        <f ca="1">INDIRECT(ADDRESS(32,7))&amp;":"&amp;INDIRECT(ADDRESS(32,6))</f>
        <v>13:12</v>
      </c>
      <c r="J12" s="15" t="s">
        <v>5</v>
      </c>
      <c r="K12" s="17" t="str">
        <f ca="1">INDIRECT(ADDRESS(35,7))&amp;":"&amp;INDIRECT(ADDRESS(35,6))</f>
        <v>7:13</v>
      </c>
      <c r="L12" s="72">
        <f ca="1">IF(COUNT(F13:K13)=0,"",COUNTIF(F13:K13,"&gt;0")+0.5*COUNTIF(F13:K13,0))</f>
        <v>1</v>
      </c>
      <c r="M12" s="12"/>
      <c r="N12" s="74">
        <v>6</v>
      </c>
    </row>
    <row r="13" spans="2:14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-10</v>
      </c>
      <c r="G13" s="12">
        <f ca="1">IF(LEN(INDIRECT(ADDRESS(ROW()-1, COLUMN())))=1,"",INDIRECT(ADDRESS(21,7))-INDIRECT(ADDRESS(21,6)))</f>
        <v>-10</v>
      </c>
      <c r="H13" s="12">
        <f ca="1">IF(LEN(INDIRECT(ADDRESS(ROW()-1, COLUMN())))=1,"",INDIRECT(ADDRESS(26,6))-INDIRECT(ADDRESS(26,7)))</f>
        <v>-1</v>
      </c>
      <c r="I13" s="12">
        <f ca="1">IF(LEN(INDIRECT(ADDRESS(ROW()-1, COLUMN())))=1,"",INDIRECT(ADDRESS(32,7))-INDIRECT(ADDRESS(32,6)))</f>
        <v>1</v>
      </c>
      <c r="J13" s="19" t="s">
        <v>5</v>
      </c>
      <c r="K13" s="13">
        <f ca="1">IF(LEN(INDIRECT(ADDRESS(ROW()-1, COLUMN())))=1,"",INDIRECT(ADDRESS(35,7))-INDIRECT(ADDRESS(35,6)))</f>
        <v>-6</v>
      </c>
      <c r="L13" s="72"/>
      <c r="M13" s="12">
        <f ca="1">IF(COUNT(F13:K13)=0,"",SUM(F13:K13))</f>
        <v>-26</v>
      </c>
      <c r="N13" s="77"/>
    </row>
    <row r="14" spans="2:14" ht="24" customHeight="1" x14ac:dyDescent="0.25">
      <c r="B14" s="64">
        <v>6</v>
      </c>
      <c r="C14" s="66" t="s">
        <v>86</v>
      </c>
      <c r="D14" s="67"/>
      <c r="E14" s="68"/>
      <c r="F14" s="14" t="str">
        <f ca="1">INDIRECT(ADDRESS(20,7))&amp;":"&amp;INDIRECT(ADDRESS(20,6))</f>
        <v>12:13</v>
      </c>
      <c r="G14" s="16" t="str">
        <f ca="1">INDIRECT(ADDRESS(30,7))&amp;":"&amp;INDIRECT(ADDRESS(30,6))</f>
        <v>6:13</v>
      </c>
      <c r="H14" s="16" t="str">
        <f ca="1">INDIRECT(ADDRESS(40,7))&amp;":"&amp;INDIRECT(ADDRESS(40,6))</f>
        <v>13:8</v>
      </c>
      <c r="I14" s="16" t="str">
        <f ca="1">INDIRECT(ADDRESS(25,6))&amp;":"&amp;INDIRECT(ADDRESS(25,7))</f>
        <v>7:13</v>
      </c>
      <c r="J14" s="16" t="str">
        <f ca="1">INDIRECT(ADDRESS(35,6))&amp;":"&amp;INDIRECT(ADDRESS(35,7))</f>
        <v>13:7</v>
      </c>
      <c r="K14" s="20" t="s">
        <v>5</v>
      </c>
      <c r="L14" s="72">
        <f ca="1">IF(COUNT(F15:K15)=0,"",COUNTIF(F15:K15,"&gt;0")+0.5*COUNTIF(F15:K15,0))</f>
        <v>2</v>
      </c>
      <c r="M14" s="12"/>
      <c r="N14" s="74">
        <v>4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-1</v>
      </c>
      <c r="G15" s="22">
        <f ca="1">IF(LEN(INDIRECT(ADDRESS(ROW()-1, COLUMN())))=1,"",INDIRECT(ADDRESS(30,7))-INDIRECT(ADDRESS(30,6)))</f>
        <v>-7</v>
      </c>
      <c r="H15" s="22">
        <f ca="1">IF(LEN(INDIRECT(ADDRESS(ROW()-1, COLUMN())))=1,"",INDIRECT(ADDRESS(40,7))-INDIRECT(ADDRESS(40,6)))</f>
        <v>5</v>
      </c>
      <c r="I15" s="22">
        <f ca="1">IF(LEN(INDIRECT(ADDRESS(ROW()-1, COLUMN())))=1,"",INDIRECT(ADDRESS(25,6))-INDIRECT(ADDRESS(25,7)))</f>
        <v>-6</v>
      </c>
      <c r="J15" s="22">
        <f ca="1">IF(LEN(INDIRECT(ADDRESS(ROW()-1, COLUMN())))=1,"",INDIRECT(ADDRESS(35,6))-INDIRECT(ADDRESS(35,7)))</f>
        <v>6</v>
      </c>
      <c r="K15" s="23" t="s">
        <v>5</v>
      </c>
      <c r="L15" s="73"/>
      <c r="M15" s="22">
        <f ca="1">IF(COUNT(F15:K15)=0,"",SUM(F15:K15))</f>
        <v>-3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Новиков А</v>
      </c>
      <c r="D20" s="100"/>
      <c r="E20" s="101"/>
      <c r="F20" s="38">
        <v>13</v>
      </c>
      <c r="G20" s="39">
        <v>12</v>
      </c>
      <c r="H20" s="102" t="str">
        <f ca="1">IF(ISBLANK(INDIRECT(ADDRESS(K20*2+2,3))),"",INDIRECT(ADDRESS(K20*2+2,3)))</f>
        <v>Большаков М</v>
      </c>
      <c r="I20" s="100"/>
      <c r="J20" s="100"/>
      <c r="K20" s="37">
        <v>6</v>
      </c>
      <c r="L20" s="40" t="s">
        <v>13</v>
      </c>
      <c r="M20" s="28"/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Попов В</v>
      </c>
      <c r="D21" s="100"/>
      <c r="E21" s="101"/>
      <c r="F21" s="38">
        <v>13</v>
      </c>
      <c r="G21" s="39">
        <v>3</v>
      </c>
      <c r="H21" s="102" t="str">
        <f ca="1">IF(ISBLANK(INDIRECT(ADDRESS(K21*2+2,3))),"",INDIRECT(ADDRESS(K21*2+2,3)))</f>
        <v>Абдрахманов Д</v>
      </c>
      <c r="I21" s="100"/>
      <c r="J21" s="100"/>
      <c r="K21" s="37">
        <v>5</v>
      </c>
      <c r="L21" s="40" t="s">
        <v>13</v>
      </c>
      <c r="M21" s="28"/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Зинкеев Г</v>
      </c>
      <c r="D22" s="100"/>
      <c r="E22" s="101"/>
      <c r="F22" s="38">
        <v>7</v>
      </c>
      <c r="G22" s="39">
        <v>13</v>
      </c>
      <c r="H22" s="102" t="str">
        <f ca="1">IF(ISBLANK(INDIRECT(ADDRESS(K22*2+2,3))),"",INDIRECT(ADDRESS(K22*2+2,3)))</f>
        <v>Горбунов А</v>
      </c>
      <c r="I22" s="100"/>
      <c r="J22" s="100"/>
      <c r="K22" s="37">
        <v>4</v>
      </c>
      <c r="L22" s="40" t="s">
        <v>13</v>
      </c>
      <c r="M22" s="28"/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Большаков М</v>
      </c>
      <c r="D25" s="100"/>
      <c r="E25" s="101"/>
      <c r="F25" s="38">
        <v>7</v>
      </c>
      <c r="G25" s="39">
        <v>13</v>
      </c>
      <c r="H25" s="102" t="str">
        <f ca="1">IF(ISBLANK(INDIRECT(ADDRESS(K25*2+2,3))),"",INDIRECT(ADDRESS(K25*2+2,3)))</f>
        <v>Горбунов А</v>
      </c>
      <c r="I25" s="100"/>
      <c r="J25" s="100"/>
      <c r="K25" s="37">
        <v>4</v>
      </c>
      <c r="L25" s="40" t="s">
        <v>13</v>
      </c>
      <c r="M25" s="28"/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Абдрахманов Д</v>
      </c>
      <c r="D26" s="100"/>
      <c r="E26" s="101"/>
      <c r="F26" s="38">
        <v>12</v>
      </c>
      <c r="G26" s="39">
        <v>13</v>
      </c>
      <c r="H26" s="102" t="str">
        <f ca="1">IF(ISBLANK(INDIRECT(ADDRESS(K26*2+2,3))),"",INDIRECT(ADDRESS(K26*2+2,3)))</f>
        <v>Зинкеев Г</v>
      </c>
      <c r="I26" s="100"/>
      <c r="J26" s="100"/>
      <c r="K26" s="37">
        <v>3</v>
      </c>
      <c r="L26" s="40" t="s">
        <v>13</v>
      </c>
      <c r="M26" s="28"/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Новиков А</v>
      </c>
      <c r="D27" s="100"/>
      <c r="E27" s="101"/>
      <c r="F27" s="38">
        <v>7</v>
      </c>
      <c r="G27" s="39">
        <v>13</v>
      </c>
      <c r="H27" s="102" t="str">
        <f ca="1">IF(ISBLANK(INDIRECT(ADDRESS(K27*2+2,3))),"",INDIRECT(ADDRESS(K27*2+2,3)))</f>
        <v>Попов В</v>
      </c>
      <c r="I27" s="100"/>
      <c r="J27" s="100"/>
      <c r="K27" s="37">
        <v>2</v>
      </c>
      <c r="L27" s="40" t="s">
        <v>13</v>
      </c>
      <c r="M27" s="28"/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Попов В</v>
      </c>
      <c r="D30" s="100"/>
      <c r="E30" s="101"/>
      <c r="F30" s="38">
        <v>13</v>
      </c>
      <c r="G30" s="39">
        <v>6</v>
      </c>
      <c r="H30" s="102" t="str">
        <f ca="1">IF(ISBLANK(INDIRECT(ADDRESS(K30*2+2,3))),"",INDIRECT(ADDRESS(K30*2+2,3)))</f>
        <v>Большаков М</v>
      </c>
      <c r="I30" s="100"/>
      <c r="J30" s="100"/>
      <c r="K30" s="37">
        <v>6</v>
      </c>
      <c r="L30" s="40" t="s">
        <v>13</v>
      </c>
      <c r="M30" s="28"/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Зинкеев Г</v>
      </c>
      <c r="D31" s="100"/>
      <c r="E31" s="101"/>
      <c r="F31" s="38">
        <v>3</v>
      </c>
      <c r="G31" s="39">
        <v>13</v>
      </c>
      <c r="H31" s="102" t="str">
        <f ca="1">IF(ISBLANK(INDIRECT(ADDRESS(K31*2+2,3))),"",INDIRECT(ADDRESS(K31*2+2,3)))</f>
        <v>Новиков А</v>
      </c>
      <c r="I31" s="100"/>
      <c r="J31" s="100"/>
      <c r="K31" s="37">
        <v>1</v>
      </c>
      <c r="L31" s="40" t="s">
        <v>13</v>
      </c>
      <c r="M31" s="28"/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Горбунов А</v>
      </c>
      <c r="D32" s="100"/>
      <c r="E32" s="101"/>
      <c r="F32" s="38">
        <v>12</v>
      </c>
      <c r="G32" s="39">
        <v>13</v>
      </c>
      <c r="H32" s="102" t="str">
        <f ca="1">IF(ISBLANK(INDIRECT(ADDRESS(K32*2+2,3))),"",INDIRECT(ADDRESS(K32*2+2,3)))</f>
        <v>Абдрахманов Д</v>
      </c>
      <c r="I32" s="100"/>
      <c r="J32" s="100"/>
      <c r="K32" s="37">
        <v>5</v>
      </c>
      <c r="L32" s="40" t="s">
        <v>13</v>
      </c>
      <c r="M32" s="28"/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Большаков М</v>
      </c>
      <c r="D35" s="100"/>
      <c r="E35" s="101"/>
      <c r="F35" s="38">
        <v>13</v>
      </c>
      <c r="G35" s="39">
        <v>7</v>
      </c>
      <c r="H35" s="102" t="str">
        <f ca="1">IF(ISBLANK(INDIRECT(ADDRESS(K35*2+2,3))),"",INDIRECT(ADDRESS(K35*2+2,3)))</f>
        <v>Абдрахманов Д</v>
      </c>
      <c r="I35" s="100"/>
      <c r="J35" s="100"/>
      <c r="K35" s="37">
        <v>5</v>
      </c>
      <c r="L35" s="40" t="s">
        <v>13</v>
      </c>
      <c r="M35" s="28"/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Новиков А</v>
      </c>
      <c r="D36" s="100"/>
      <c r="E36" s="101"/>
      <c r="F36" s="38">
        <v>13</v>
      </c>
      <c r="G36" s="39">
        <v>6</v>
      </c>
      <c r="H36" s="102" t="str">
        <f ca="1">IF(ISBLANK(INDIRECT(ADDRESS(K36*2+2,3))),"",INDIRECT(ADDRESS(K36*2+2,3)))</f>
        <v>Горбунов А</v>
      </c>
      <c r="I36" s="100"/>
      <c r="J36" s="100"/>
      <c r="K36" s="37">
        <v>4</v>
      </c>
      <c r="L36" s="40" t="s">
        <v>13</v>
      </c>
      <c r="M36" s="28"/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Попов В</v>
      </c>
      <c r="D37" s="100"/>
      <c r="E37" s="101"/>
      <c r="F37" s="38">
        <v>13</v>
      </c>
      <c r="G37" s="39">
        <v>10</v>
      </c>
      <c r="H37" s="102" t="str">
        <f ca="1">IF(ISBLANK(INDIRECT(ADDRESS(K37*2+2,3))),"",INDIRECT(ADDRESS(K37*2+2,3)))</f>
        <v>Зинкеев Г</v>
      </c>
      <c r="I37" s="100"/>
      <c r="J37" s="100"/>
      <c r="K37" s="37">
        <v>3</v>
      </c>
      <c r="L37" s="40" t="s">
        <v>13</v>
      </c>
      <c r="M37" s="28"/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Зинкеев Г</v>
      </c>
      <c r="D40" s="100"/>
      <c r="E40" s="101"/>
      <c r="F40" s="38">
        <v>8</v>
      </c>
      <c r="G40" s="39">
        <v>13</v>
      </c>
      <c r="H40" s="102" t="str">
        <f ca="1">IF(ISBLANK(INDIRECT(ADDRESS(K40*2+2,3))),"",INDIRECT(ADDRESS(K40*2+2,3)))</f>
        <v>Большаков М</v>
      </c>
      <c r="I40" s="100"/>
      <c r="J40" s="100"/>
      <c r="K40" s="37">
        <v>6</v>
      </c>
      <c r="L40" s="40" t="s">
        <v>13</v>
      </c>
      <c r="M40" s="28"/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Горбунов А</v>
      </c>
      <c r="D41" s="100"/>
      <c r="E41" s="101"/>
      <c r="F41" s="38">
        <v>8</v>
      </c>
      <c r="G41" s="39">
        <v>13</v>
      </c>
      <c r="H41" s="102" t="str">
        <f ca="1">IF(ISBLANK(INDIRECT(ADDRESS(K41*2+2,3))),"",INDIRECT(ADDRESS(K41*2+2,3)))</f>
        <v>Попов В</v>
      </c>
      <c r="I41" s="100"/>
      <c r="J41" s="100"/>
      <c r="K41" s="37">
        <v>2</v>
      </c>
      <c r="L41" s="40" t="s">
        <v>13</v>
      </c>
      <c r="M41" s="28"/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Абдрахманов Д</v>
      </c>
      <c r="D42" s="100"/>
      <c r="E42" s="101"/>
      <c r="F42" s="38">
        <v>3</v>
      </c>
      <c r="G42" s="39">
        <v>13</v>
      </c>
      <c r="H42" s="102" t="str">
        <f ca="1">IF(ISBLANK(INDIRECT(ADDRESS(K42*2+2,3))),"",INDIRECT(ADDRESS(K42*2+2,3)))</f>
        <v>Новиков А</v>
      </c>
      <c r="I42" s="100"/>
      <c r="J42" s="100"/>
      <c r="K42" s="37">
        <v>1</v>
      </c>
      <c r="L42" s="40" t="s">
        <v>13</v>
      </c>
      <c r="M42" s="28"/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B1" sqref="B1:M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126" t="s">
        <v>87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45311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127" t="s">
        <v>100</v>
      </c>
      <c r="D4" s="128"/>
      <c r="E4" s="129"/>
      <c r="F4" s="7" t="s">
        <v>5</v>
      </c>
      <c r="G4" s="8" t="str">
        <f ca="1">INDIRECT(ADDRESS(27,6))&amp;":"&amp;INDIRECT(ADDRESS(27,7))</f>
        <v>6:13</v>
      </c>
      <c r="H4" s="8" t="str">
        <f ca="1">INDIRECT(ADDRESS(31,7))&amp;":"&amp;INDIRECT(ADDRESS(31,6))</f>
        <v>13:10</v>
      </c>
      <c r="I4" s="8" t="str">
        <f ca="1">INDIRECT(ADDRESS(36,6))&amp;":"&amp;INDIRECT(ADDRESS(36,7))</f>
        <v>13:8</v>
      </c>
      <c r="J4" s="8" t="str">
        <f ca="1">INDIRECT(ADDRESS(42,7))&amp;":"&amp;INDIRECT(ADDRESS(42,6))</f>
        <v>13:7</v>
      </c>
      <c r="K4" s="9" t="str">
        <f ca="1">INDIRECT(ADDRESS(20,6))&amp;":"&amp;INDIRECT(ADDRESS(20,7))</f>
        <v>8:13</v>
      </c>
      <c r="L4" s="92">
        <f ca="1">IF(COUNT(F5:K5)=0,"",COUNTIF(F5:K5,"&gt;0")+0.5*COUNTIF(F5:K5,0))</f>
        <v>3</v>
      </c>
      <c r="M4" s="10"/>
      <c r="N4" s="121">
        <v>3</v>
      </c>
    </row>
    <row r="5" spans="2:14" ht="24" customHeight="1" x14ac:dyDescent="0.25">
      <c r="B5" s="76"/>
      <c r="C5" s="66"/>
      <c r="D5" s="67"/>
      <c r="E5" s="68"/>
      <c r="F5" s="11" t="s">
        <v>5</v>
      </c>
      <c r="G5" s="12">
        <f ca="1">IF(LEN(INDIRECT(ADDRESS(ROW()-1, COLUMN())))=1,"",INDIRECT(ADDRESS(27,6))-INDIRECT(ADDRESS(27,7)))</f>
        <v>-7</v>
      </c>
      <c r="H5" s="12">
        <f ca="1">IF(LEN(INDIRECT(ADDRESS(ROW()-1, COLUMN())))=1,"",INDIRECT(ADDRESS(31,7))-INDIRECT(ADDRESS(31,6)))</f>
        <v>3</v>
      </c>
      <c r="I5" s="12">
        <f ca="1">IF(LEN(INDIRECT(ADDRESS(ROW()-1, COLUMN())))=1,"",INDIRECT(ADDRESS(36,6))-INDIRECT(ADDRESS(36,7)))</f>
        <v>5</v>
      </c>
      <c r="J5" s="12">
        <f ca="1">IF(LEN(INDIRECT(ADDRESS(ROW()-1, COLUMN())))=1,"",INDIRECT(ADDRESS(42,7))-INDIRECT(ADDRESS(42,6)))</f>
        <v>6</v>
      </c>
      <c r="K5" s="13">
        <f ca="1">IF(LEN(INDIRECT(ADDRESS(ROW()-1, COLUMN())))=1,"",INDIRECT(ADDRESS(20,6))-INDIRECT(ADDRESS(20,7)))</f>
        <v>-5</v>
      </c>
      <c r="L5" s="72"/>
      <c r="M5" s="12">
        <f ca="1">IF(COUNT(F5:K5)=0,"",SUM(F5:K5))</f>
        <v>2</v>
      </c>
      <c r="N5" s="77"/>
    </row>
    <row r="6" spans="2:14" ht="24" customHeight="1" x14ac:dyDescent="0.25">
      <c r="B6" s="64">
        <v>2</v>
      </c>
      <c r="C6" s="78" t="s">
        <v>101</v>
      </c>
      <c r="D6" s="79"/>
      <c r="E6" s="80"/>
      <c r="F6" s="14" t="str">
        <f ca="1">INDIRECT(ADDRESS(27,7))&amp;":"&amp;INDIRECT(ADDRESS(27,6))</f>
        <v>13:6</v>
      </c>
      <c r="G6" s="15" t="s">
        <v>5</v>
      </c>
      <c r="H6" s="16" t="str">
        <f ca="1">INDIRECT(ADDRESS(37,6))&amp;":"&amp;INDIRECT(ADDRESS(37,7))</f>
        <v>13:9</v>
      </c>
      <c r="I6" s="16" t="str">
        <f ca="1">INDIRECT(ADDRESS(41,7))&amp;":"&amp;INDIRECT(ADDRESS(41,6))</f>
        <v>13:10</v>
      </c>
      <c r="J6" s="16" t="str">
        <f ca="1">INDIRECT(ADDRESS(21,6))&amp;":"&amp;INDIRECT(ADDRESS(21,7))</f>
        <v>13:1</v>
      </c>
      <c r="K6" s="17" t="str">
        <f ca="1">INDIRECT(ADDRESS(30,6))&amp;":"&amp;INDIRECT(ADDRESS(30,7))</f>
        <v>13:10</v>
      </c>
      <c r="L6" s="72">
        <f ca="1">IF(COUNT(F7:K7)=0,"",COUNTIF(F7:K7,"&gt;0")+0.5*COUNTIF(F7:K7,0))</f>
        <v>5</v>
      </c>
      <c r="M6" s="12"/>
      <c r="N6" s="74">
        <v>1</v>
      </c>
    </row>
    <row r="7" spans="2:14" ht="24" customHeight="1" x14ac:dyDescent="0.25">
      <c r="B7" s="76"/>
      <c r="C7" s="78"/>
      <c r="D7" s="79"/>
      <c r="E7" s="80"/>
      <c r="F7" s="18">
        <f ca="1">IF(LEN(INDIRECT(ADDRESS(ROW()-1, COLUMN())))=1,"",INDIRECT(ADDRESS(27,7))-INDIRECT(ADDRESS(27,6)))</f>
        <v>7</v>
      </c>
      <c r="G7" s="19" t="s">
        <v>5</v>
      </c>
      <c r="H7" s="12">
        <f ca="1">IF(LEN(INDIRECT(ADDRESS(ROW()-1, COLUMN())))=1,"",INDIRECT(ADDRESS(37,6))-INDIRECT(ADDRESS(37,7)))</f>
        <v>4</v>
      </c>
      <c r="I7" s="12">
        <f ca="1">IF(LEN(INDIRECT(ADDRESS(ROW()-1, COLUMN())))=1,"",INDIRECT(ADDRESS(41,7))-INDIRECT(ADDRESS(41,6)))</f>
        <v>3</v>
      </c>
      <c r="J7" s="12">
        <f ca="1">IF(LEN(INDIRECT(ADDRESS(ROW()-1, COLUMN())))=1,"",INDIRECT(ADDRESS(21,6))-INDIRECT(ADDRESS(21,7)))</f>
        <v>12</v>
      </c>
      <c r="K7" s="13">
        <f ca="1">IF(LEN(INDIRECT(ADDRESS(ROW()-1, COLUMN())))=1,"",INDIRECT(ADDRESS(30,6))-INDIRECT(ADDRESS(30,7)))</f>
        <v>3</v>
      </c>
      <c r="L7" s="72"/>
      <c r="M7" s="12">
        <f ca="1">IF(COUNT(F7:K7)=0,"",SUM(F7:K7))</f>
        <v>29</v>
      </c>
      <c r="N7" s="77"/>
    </row>
    <row r="8" spans="2:14" ht="24" customHeight="1" x14ac:dyDescent="0.25">
      <c r="B8" s="64">
        <v>3</v>
      </c>
      <c r="C8" s="66" t="s">
        <v>102</v>
      </c>
      <c r="D8" s="67"/>
      <c r="E8" s="68"/>
      <c r="F8" s="14" t="str">
        <f ca="1">INDIRECT(ADDRESS(31,6))&amp;":"&amp;INDIRECT(ADDRESS(31,7))</f>
        <v>10:13</v>
      </c>
      <c r="G8" s="16" t="str">
        <f ca="1">INDIRECT(ADDRESS(37,7))&amp;":"&amp;INDIRECT(ADDRESS(37,6))</f>
        <v>9:13</v>
      </c>
      <c r="H8" s="15" t="s">
        <v>5</v>
      </c>
      <c r="I8" s="16" t="str">
        <f ca="1">INDIRECT(ADDRESS(22,6))&amp;":"&amp;INDIRECT(ADDRESS(22,7))</f>
        <v>12:13</v>
      </c>
      <c r="J8" s="16" t="str">
        <f ca="1">INDIRECT(ADDRESS(26,7))&amp;":"&amp;INDIRECT(ADDRESS(26,6))</f>
        <v>13:2</v>
      </c>
      <c r="K8" s="17" t="str">
        <f ca="1">INDIRECT(ADDRESS(40,6))&amp;":"&amp;INDIRECT(ADDRESS(40,7))</f>
        <v>6:13</v>
      </c>
      <c r="L8" s="72">
        <f ca="1">IF(COUNT(F9:K9)=0,"",COUNTIF(F9:K9,"&gt;0")+0.5*COUNTIF(F9:K9,0))</f>
        <v>1</v>
      </c>
      <c r="M8" s="12"/>
      <c r="N8" s="74">
        <v>5</v>
      </c>
    </row>
    <row r="9" spans="2:14" ht="24" customHeight="1" x14ac:dyDescent="0.25">
      <c r="B9" s="76"/>
      <c r="C9" s="66"/>
      <c r="D9" s="67"/>
      <c r="E9" s="68"/>
      <c r="F9" s="18">
        <f ca="1">IF(LEN(INDIRECT(ADDRESS(ROW()-1, COLUMN())))=1,"",INDIRECT(ADDRESS(31,6))-INDIRECT(ADDRESS(31,7)))</f>
        <v>-3</v>
      </c>
      <c r="G9" s="12">
        <f ca="1">IF(LEN(INDIRECT(ADDRESS(ROW()-1, COLUMN())))=1,"",INDIRECT(ADDRESS(37,7))-INDIRECT(ADDRESS(37,6)))</f>
        <v>-4</v>
      </c>
      <c r="H9" s="19" t="s">
        <v>5</v>
      </c>
      <c r="I9" s="12">
        <f ca="1">IF(LEN(INDIRECT(ADDRESS(ROW()-1, COLUMN())))=1,"",INDIRECT(ADDRESS(22,6))-INDIRECT(ADDRESS(22,7)))</f>
        <v>-1</v>
      </c>
      <c r="J9" s="12">
        <f ca="1">IF(LEN(INDIRECT(ADDRESS(ROW()-1, COLUMN())))=1,"",INDIRECT(ADDRESS(26,7))-INDIRECT(ADDRESS(26,6)))</f>
        <v>11</v>
      </c>
      <c r="K9" s="13">
        <f ca="1">IF(LEN(INDIRECT(ADDRESS(ROW()-1, COLUMN())))=1,"",INDIRECT(ADDRESS(40,6))-INDIRECT(ADDRESS(40,7)))</f>
        <v>-7</v>
      </c>
      <c r="L9" s="72"/>
      <c r="M9" s="12">
        <f ca="1">IF(COUNT(F9:K9)=0,"",SUM(F9:K9))</f>
        <v>-4</v>
      </c>
      <c r="N9" s="77"/>
    </row>
    <row r="10" spans="2:14" ht="24" customHeight="1" x14ac:dyDescent="0.25">
      <c r="B10" s="64">
        <v>4</v>
      </c>
      <c r="C10" s="66" t="s">
        <v>103</v>
      </c>
      <c r="D10" s="67"/>
      <c r="E10" s="68"/>
      <c r="F10" s="14" t="str">
        <f ca="1">INDIRECT(ADDRESS(36,7))&amp;":"&amp;INDIRECT(ADDRESS(36,6))</f>
        <v>8:13</v>
      </c>
      <c r="G10" s="16" t="str">
        <f ca="1">INDIRECT(ADDRESS(41,6))&amp;":"&amp;INDIRECT(ADDRESS(41,7))</f>
        <v>10:13</v>
      </c>
      <c r="H10" s="16" t="str">
        <f ca="1">INDIRECT(ADDRESS(22,7))&amp;":"&amp;INDIRECT(ADDRESS(22,6))</f>
        <v>13:12</v>
      </c>
      <c r="I10" s="15" t="s">
        <v>5</v>
      </c>
      <c r="J10" s="16" t="str">
        <f ca="1">INDIRECT(ADDRESS(32,6))&amp;":"&amp;INDIRECT(ADDRESS(32,7))</f>
        <v>13:9</v>
      </c>
      <c r="K10" s="17" t="str">
        <f ca="1">INDIRECT(ADDRESS(25,7))&amp;":"&amp;INDIRECT(ADDRESS(25,6))</f>
        <v>6:13</v>
      </c>
      <c r="L10" s="72">
        <f ca="1">IF(COUNT(F11:K11)=0,"",COUNTIF(F11:K11,"&gt;0")+0.5*COUNTIF(F11:K11,0))</f>
        <v>2</v>
      </c>
      <c r="M10" s="12"/>
      <c r="N10" s="74">
        <v>4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-5</v>
      </c>
      <c r="G11" s="12">
        <f ca="1">IF(LEN(INDIRECT(ADDRESS(ROW()-1, COLUMN())))=1,"",INDIRECT(ADDRESS(41,6))-INDIRECT(ADDRESS(41,7)))</f>
        <v>-3</v>
      </c>
      <c r="H11" s="12">
        <f ca="1">IF(LEN(INDIRECT(ADDRESS(ROW()-1, COLUMN())))=1,"",INDIRECT(ADDRESS(22,7))-INDIRECT(ADDRESS(22,6)))</f>
        <v>1</v>
      </c>
      <c r="I11" s="19" t="s">
        <v>5</v>
      </c>
      <c r="J11" s="12">
        <f ca="1">IF(LEN(INDIRECT(ADDRESS(ROW()-1, COLUMN())))=1,"",INDIRECT(ADDRESS(32,6))-INDIRECT(ADDRESS(32,7)))</f>
        <v>4</v>
      </c>
      <c r="K11" s="13">
        <f ca="1">IF(LEN(INDIRECT(ADDRESS(ROW()-1, COLUMN())))=1,"",INDIRECT(ADDRESS(25,7))-INDIRECT(ADDRESS(25,6)))</f>
        <v>-7</v>
      </c>
      <c r="L11" s="72"/>
      <c r="M11" s="12">
        <f ca="1">IF(COUNT(F11:K11)=0,"",SUM(F11:K11))</f>
        <v>-10</v>
      </c>
      <c r="N11" s="77"/>
    </row>
    <row r="12" spans="2:14" ht="24" customHeight="1" x14ac:dyDescent="0.25">
      <c r="B12" s="64">
        <v>5</v>
      </c>
      <c r="C12" s="66" t="s">
        <v>104</v>
      </c>
      <c r="D12" s="67"/>
      <c r="E12" s="68"/>
      <c r="F12" s="14" t="str">
        <f ca="1">INDIRECT(ADDRESS(42,6))&amp;":"&amp;INDIRECT(ADDRESS(42,7))</f>
        <v>7:13</v>
      </c>
      <c r="G12" s="16" t="str">
        <f ca="1">INDIRECT(ADDRESS(21,7))&amp;":"&amp;INDIRECT(ADDRESS(21,6))</f>
        <v>1:13</v>
      </c>
      <c r="H12" s="16" t="str">
        <f ca="1">INDIRECT(ADDRESS(26,6))&amp;":"&amp;INDIRECT(ADDRESS(26,7))</f>
        <v>2:13</v>
      </c>
      <c r="I12" s="16" t="str">
        <f ca="1">INDIRECT(ADDRESS(32,7))&amp;":"&amp;INDIRECT(ADDRESS(32,6))</f>
        <v>9:13</v>
      </c>
      <c r="J12" s="15" t="s">
        <v>5</v>
      </c>
      <c r="K12" s="17" t="str">
        <f ca="1">INDIRECT(ADDRESS(35,7))&amp;":"&amp;INDIRECT(ADDRESS(35,6))</f>
        <v>6:13</v>
      </c>
      <c r="L12" s="72">
        <f ca="1">IF(COUNT(F13:K13)=0,"",COUNTIF(F13:K13,"&gt;0")+0.5*COUNTIF(F13:K13,0))</f>
        <v>0</v>
      </c>
      <c r="M12" s="12"/>
      <c r="N12" s="74">
        <v>6</v>
      </c>
    </row>
    <row r="13" spans="2:14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-6</v>
      </c>
      <c r="G13" s="12">
        <f ca="1">IF(LEN(INDIRECT(ADDRESS(ROW()-1, COLUMN())))=1,"",INDIRECT(ADDRESS(21,7))-INDIRECT(ADDRESS(21,6)))</f>
        <v>-12</v>
      </c>
      <c r="H13" s="12">
        <f ca="1">IF(LEN(INDIRECT(ADDRESS(ROW()-1, COLUMN())))=1,"",INDIRECT(ADDRESS(26,6))-INDIRECT(ADDRESS(26,7)))</f>
        <v>-11</v>
      </c>
      <c r="I13" s="12">
        <f ca="1">IF(LEN(INDIRECT(ADDRESS(ROW()-1, COLUMN())))=1,"",INDIRECT(ADDRESS(32,7))-INDIRECT(ADDRESS(32,6)))</f>
        <v>-4</v>
      </c>
      <c r="J13" s="19" t="s">
        <v>5</v>
      </c>
      <c r="K13" s="13">
        <f ca="1">IF(LEN(INDIRECT(ADDRESS(ROW()-1, COLUMN())))=1,"",INDIRECT(ADDRESS(35,7))-INDIRECT(ADDRESS(35,6)))</f>
        <v>-7</v>
      </c>
      <c r="L13" s="72"/>
      <c r="M13" s="12">
        <f ca="1">IF(COUNT(F13:K13)=0,"",SUM(F13:K13))</f>
        <v>-40</v>
      </c>
      <c r="N13" s="77"/>
    </row>
    <row r="14" spans="2:14" ht="24" customHeight="1" x14ac:dyDescent="0.25">
      <c r="B14" s="64">
        <v>6</v>
      </c>
      <c r="C14" s="78" t="s">
        <v>105</v>
      </c>
      <c r="D14" s="79"/>
      <c r="E14" s="80"/>
      <c r="F14" s="14" t="str">
        <f ca="1">INDIRECT(ADDRESS(20,7))&amp;":"&amp;INDIRECT(ADDRESS(20,6))</f>
        <v>13:8</v>
      </c>
      <c r="G14" s="16" t="str">
        <f ca="1">INDIRECT(ADDRESS(30,7))&amp;":"&amp;INDIRECT(ADDRESS(30,6))</f>
        <v>10:13</v>
      </c>
      <c r="H14" s="16" t="str">
        <f ca="1">INDIRECT(ADDRESS(40,7))&amp;":"&amp;INDIRECT(ADDRESS(40,6))</f>
        <v>13:6</v>
      </c>
      <c r="I14" s="16" t="str">
        <f ca="1">INDIRECT(ADDRESS(25,6))&amp;":"&amp;INDIRECT(ADDRESS(25,7))</f>
        <v>13:6</v>
      </c>
      <c r="J14" s="16" t="str">
        <f ca="1">INDIRECT(ADDRESS(35,6))&amp;":"&amp;INDIRECT(ADDRESS(35,7))</f>
        <v>13:6</v>
      </c>
      <c r="K14" s="20" t="s">
        <v>5</v>
      </c>
      <c r="L14" s="72">
        <f ca="1">IF(COUNT(F15:K15)=0,"",COUNTIF(F15:K15,"&gt;0")+0.5*COUNTIF(F15:K15,0))</f>
        <v>4</v>
      </c>
      <c r="M14" s="12"/>
      <c r="N14" s="74">
        <v>2</v>
      </c>
    </row>
    <row r="15" spans="2:14" ht="24" customHeight="1" thickBot="1" x14ac:dyDescent="0.3">
      <c r="B15" s="65"/>
      <c r="C15" s="117"/>
      <c r="D15" s="118"/>
      <c r="E15" s="119"/>
      <c r="F15" s="21">
        <f ca="1">IF(LEN(INDIRECT(ADDRESS(ROW()-1, COLUMN())))=1,"",INDIRECT(ADDRESS(20,7))-INDIRECT(ADDRESS(20,6)))</f>
        <v>5</v>
      </c>
      <c r="G15" s="22">
        <f ca="1">IF(LEN(INDIRECT(ADDRESS(ROW()-1, COLUMN())))=1,"",INDIRECT(ADDRESS(30,7))-INDIRECT(ADDRESS(30,6)))</f>
        <v>-3</v>
      </c>
      <c r="H15" s="22">
        <f ca="1">IF(LEN(INDIRECT(ADDRESS(ROW()-1, COLUMN())))=1,"",INDIRECT(ADDRESS(40,7))-INDIRECT(ADDRESS(40,6)))</f>
        <v>7</v>
      </c>
      <c r="I15" s="22">
        <f ca="1">IF(LEN(INDIRECT(ADDRESS(ROW()-1, COLUMN())))=1,"",INDIRECT(ADDRESS(25,6))-INDIRECT(ADDRESS(25,7)))</f>
        <v>7</v>
      </c>
      <c r="J15" s="22">
        <f ca="1">IF(LEN(INDIRECT(ADDRESS(ROW()-1, COLUMN())))=1,"",INDIRECT(ADDRESS(35,6))-INDIRECT(ADDRESS(35,7)))</f>
        <v>7</v>
      </c>
      <c r="K15" s="23" t="s">
        <v>5</v>
      </c>
      <c r="L15" s="73"/>
      <c r="M15" s="22">
        <f ca="1">IF(COUNT(F15:K15)=0,"",SUM(F15:K15))</f>
        <v>23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Тихонов Дмитрий</v>
      </c>
      <c r="D20" s="100"/>
      <c r="E20" s="101"/>
      <c r="F20" s="38">
        <v>8</v>
      </c>
      <c r="G20" s="39">
        <v>13</v>
      </c>
      <c r="H20" s="102" t="str">
        <f ca="1">IF(ISBLANK(INDIRECT(ADDRESS(K20*2+2,3))),"",INDIRECT(ADDRESS(K20*2+2,3)))</f>
        <v>Петрушко Алексей</v>
      </c>
      <c r="I20" s="100"/>
      <c r="J20" s="100"/>
      <c r="K20" s="37">
        <v>6</v>
      </c>
      <c r="L20" s="40" t="s">
        <v>13</v>
      </c>
      <c r="M20" s="28">
        <v>5</v>
      </c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Базарев Дмитрий</v>
      </c>
      <c r="D21" s="100"/>
      <c r="E21" s="101"/>
      <c r="F21" s="38">
        <v>13</v>
      </c>
      <c r="G21" s="39">
        <v>1</v>
      </c>
      <c r="H21" s="102" t="str">
        <f ca="1">IF(ISBLANK(INDIRECT(ADDRESS(K21*2+2,3))),"",INDIRECT(ADDRESS(K21*2+2,3)))</f>
        <v>Глуховский Аркадий</v>
      </c>
      <c r="I21" s="100"/>
      <c r="J21" s="100"/>
      <c r="K21" s="37">
        <v>5</v>
      </c>
      <c r="L21" s="40" t="s">
        <v>13</v>
      </c>
      <c r="M21" s="28">
        <v>6</v>
      </c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Ли Александр</v>
      </c>
      <c r="D22" s="100"/>
      <c r="E22" s="101"/>
      <c r="F22" s="38">
        <v>12</v>
      </c>
      <c r="G22" s="39">
        <v>13</v>
      </c>
      <c r="H22" s="102" t="str">
        <f ca="1">IF(ISBLANK(INDIRECT(ADDRESS(K22*2+2,3))),"",INDIRECT(ADDRESS(K22*2+2,3)))</f>
        <v>Петраков Игорь</v>
      </c>
      <c r="I22" s="100"/>
      <c r="J22" s="100"/>
      <c r="K22" s="37">
        <v>4</v>
      </c>
      <c r="L22" s="40" t="s">
        <v>13</v>
      </c>
      <c r="M22" s="28">
        <v>4</v>
      </c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Петрушко Алексей</v>
      </c>
      <c r="D25" s="100"/>
      <c r="E25" s="101"/>
      <c r="F25" s="38">
        <v>13</v>
      </c>
      <c r="G25" s="39">
        <v>6</v>
      </c>
      <c r="H25" s="102" t="str">
        <f ca="1">IF(ISBLANK(INDIRECT(ADDRESS(K25*2+2,3))),"",INDIRECT(ADDRESS(K25*2+2,3)))</f>
        <v>Петраков Игорь</v>
      </c>
      <c r="I25" s="100"/>
      <c r="J25" s="100"/>
      <c r="K25" s="37">
        <v>4</v>
      </c>
      <c r="L25" s="40" t="s">
        <v>13</v>
      </c>
      <c r="M25" s="28">
        <v>7</v>
      </c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Глуховский Аркадий</v>
      </c>
      <c r="D26" s="100"/>
      <c r="E26" s="101"/>
      <c r="F26" s="38">
        <v>2</v>
      </c>
      <c r="G26" s="39">
        <v>13</v>
      </c>
      <c r="H26" s="102" t="str">
        <f ca="1">IF(ISBLANK(INDIRECT(ADDRESS(K26*2+2,3))),"",INDIRECT(ADDRESS(K26*2+2,3)))</f>
        <v>Ли Александр</v>
      </c>
      <c r="I26" s="100"/>
      <c r="J26" s="100"/>
      <c r="K26" s="37">
        <v>3</v>
      </c>
      <c r="L26" s="40" t="s">
        <v>13</v>
      </c>
      <c r="M26" s="28">
        <v>8</v>
      </c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Тихонов Дмитрий</v>
      </c>
      <c r="D27" s="100"/>
      <c r="E27" s="101"/>
      <c r="F27" s="38">
        <v>6</v>
      </c>
      <c r="G27" s="39">
        <v>13</v>
      </c>
      <c r="H27" s="102" t="str">
        <f ca="1">IF(ISBLANK(INDIRECT(ADDRESS(K27*2+2,3))),"",INDIRECT(ADDRESS(K27*2+2,3)))</f>
        <v>Базарев Дмитрий</v>
      </c>
      <c r="I27" s="100"/>
      <c r="J27" s="100"/>
      <c r="K27" s="37">
        <v>2</v>
      </c>
      <c r="L27" s="40" t="s">
        <v>13</v>
      </c>
      <c r="M27" s="28">
        <v>9</v>
      </c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Базарев Дмитрий</v>
      </c>
      <c r="D30" s="100"/>
      <c r="E30" s="101"/>
      <c r="F30" s="38">
        <v>13</v>
      </c>
      <c r="G30" s="39">
        <v>10</v>
      </c>
      <c r="H30" s="102" t="str">
        <f ca="1">IF(ISBLANK(INDIRECT(ADDRESS(K30*2+2,3))),"",INDIRECT(ADDRESS(K30*2+2,3)))</f>
        <v>Петрушко Алексей</v>
      </c>
      <c r="I30" s="100"/>
      <c r="J30" s="100"/>
      <c r="K30" s="37">
        <v>6</v>
      </c>
      <c r="L30" s="40" t="s">
        <v>13</v>
      </c>
      <c r="M30" s="28">
        <v>1</v>
      </c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Ли Александр</v>
      </c>
      <c r="D31" s="100"/>
      <c r="E31" s="101"/>
      <c r="F31" s="38">
        <v>10</v>
      </c>
      <c r="G31" s="39">
        <v>13</v>
      </c>
      <c r="H31" s="102" t="str">
        <f ca="1">IF(ISBLANK(INDIRECT(ADDRESS(K31*2+2,3))),"",INDIRECT(ADDRESS(K31*2+2,3)))</f>
        <v>Тихонов Дмитрий</v>
      </c>
      <c r="I31" s="100"/>
      <c r="J31" s="100"/>
      <c r="K31" s="37">
        <v>1</v>
      </c>
      <c r="L31" s="40" t="s">
        <v>13</v>
      </c>
      <c r="M31" s="28">
        <v>2</v>
      </c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Петраков Игорь</v>
      </c>
      <c r="D32" s="100"/>
      <c r="E32" s="101"/>
      <c r="F32" s="38">
        <v>13</v>
      </c>
      <c r="G32" s="39">
        <v>9</v>
      </c>
      <c r="H32" s="102" t="str">
        <f ca="1">IF(ISBLANK(INDIRECT(ADDRESS(K32*2+2,3))),"",INDIRECT(ADDRESS(K32*2+2,3)))</f>
        <v>Глуховский Аркадий</v>
      </c>
      <c r="I32" s="100"/>
      <c r="J32" s="100"/>
      <c r="K32" s="37">
        <v>5</v>
      </c>
      <c r="L32" s="40" t="s">
        <v>13</v>
      </c>
      <c r="M32" s="28">
        <v>3</v>
      </c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Петрушко Алексей</v>
      </c>
      <c r="D35" s="100"/>
      <c r="E35" s="101"/>
      <c r="F35" s="38">
        <v>13</v>
      </c>
      <c r="G35" s="39">
        <v>6</v>
      </c>
      <c r="H35" s="102" t="str">
        <f ca="1">IF(ISBLANK(INDIRECT(ADDRESS(K35*2+2,3))),"",INDIRECT(ADDRESS(K35*2+2,3)))</f>
        <v>Глуховский Аркадий</v>
      </c>
      <c r="I35" s="100"/>
      <c r="J35" s="100"/>
      <c r="K35" s="37">
        <v>5</v>
      </c>
      <c r="L35" s="40" t="s">
        <v>13</v>
      </c>
      <c r="M35" s="28">
        <v>5</v>
      </c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Тихонов Дмитрий</v>
      </c>
      <c r="D36" s="100"/>
      <c r="E36" s="101"/>
      <c r="F36" s="38">
        <v>13</v>
      </c>
      <c r="G36" s="39">
        <v>8</v>
      </c>
      <c r="H36" s="102" t="str">
        <f ca="1">IF(ISBLANK(INDIRECT(ADDRESS(K36*2+2,3))),"",INDIRECT(ADDRESS(K36*2+2,3)))</f>
        <v>Петраков Игорь</v>
      </c>
      <c r="I36" s="100"/>
      <c r="J36" s="100"/>
      <c r="K36" s="37">
        <v>4</v>
      </c>
      <c r="L36" s="40" t="s">
        <v>13</v>
      </c>
      <c r="M36" s="28">
        <v>6</v>
      </c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Базарев Дмитрий</v>
      </c>
      <c r="D37" s="100"/>
      <c r="E37" s="101"/>
      <c r="F37" s="38">
        <v>13</v>
      </c>
      <c r="G37" s="39">
        <v>9</v>
      </c>
      <c r="H37" s="102" t="str">
        <f ca="1">IF(ISBLANK(INDIRECT(ADDRESS(K37*2+2,3))),"",INDIRECT(ADDRESS(K37*2+2,3)))</f>
        <v>Ли Александр</v>
      </c>
      <c r="I37" s="100"/>
      <c r="J37" s="100"/>
      <c r="K37" s="37">
        <v>3</v>
      </c>
      <c r="L37" s="40" t="s">
        <v>13</v>
      </c>
      <c r="M37" s="28">
        <v>4</v>
      </c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Ли Александр</v>
      </c>
      <c r="D40" s="100"/>
      <c r="E40" s="101"/>
      <c r="F40" s="38">
        <v>6</v>
      </c>
      <c r="G40" s="39">
        <v>13</v>
      </c>
      <c r="H40" s="102" t="str">
        <f ca="1">IF(ISBLANK(INDIRECT(ADDRESS(K40*2+2,3))),"",INDIRECT(ADDRESS(K40*2+2,3)))</f>
        <v>Петрушко Алексей</v>
      </c>
      <c r="I40" s="100"/>
      <c r="J40" s="100"/>
      <c r="K40" s="37">
        <v>6</v>
      </c>
      <c r="L40" s="40" t="s">
        <v>13</v>
      </c>
      <c r="M40" s="28">
        <v>7</v>
      </c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Петраков Игорь</v>
      </c>
      <c r="D41" s="100"/>
      <c r="E41" s="101"/>
      <c r="F41" s="38">
        <v>10</v>
      </c>
      <c r="G41" s="39">
        <v>13</v>
      </c>
      <c r="H41" s="102" t="str">
        <f ca="1">IF(ISBLANK(INDIRECT(ADDRESS(K41*2+2,3))),"",INDIRECT(ADDRESS(K41*2+2,3)))</f>
        <v>Базарев Дмитрий</v>
      </c>
      <c r="I41" s="100"/>
      <c r="J41" s="100"/>
      <c r="K41" s="37">
        <v>2</v>
      </c>
      <c r="L41" s="40" t="s">
        <v>13</v>
      </c>
      <c r="M41" s="28">
        <v>8</v>
      </c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Глуховский Аркадий</v>
      </c>
      <c r="D42" s="100"/>
      <c r="E42" s="101"/>
      <c r="F42" s="38">
        <v>7</v>
      </c>
      <c r="G42" s="39">
        <v>13</v>
      </c>
      <c r="H42" s="102" t="str">
        <f ca="1">IF(ISBLANK(INDIRECT(ADDRESS(K42*2+2,3))),"",INDIRECT(ADDRESS(K42*2+2,3)))</f>
        <v>Тихонов Дмитрий</v>
      </c>
      <c r="I42" s="100"/>
      <c r="J42" s="100"/>
      <c r="K42" s="37">
        <v>1</v>
      </c>
      <c r="L42" s="40" t="s">
        <v>13</v>
      </c>
      <c r="M42" s="28">
        <v>9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M12" sqref="M12:M13"/>
    </sheetView>
  </sheetViews>
  <sheetFormatPr defaultRowHeight="15" x14ac:dyDescent="0.25"/>
  <cols>
    <col min="1" max="1" width="4" style="1" customWidth="1"/>
    <col min="2" max="12" width="10.28515625" customWidth="1"/>
    <col min="13" max="13" width="12.28515625" style="32" customWidth="1"/>
    <col min="14" max="15" width="10.28515625" customWidth="1"/>
  </cols>
  <sheetData>
    <row r="1" spans="2:13" ht="31.5" x14ac:dyDescent="0.25">
      <c r="B1" s="126" t="s">
        <v>89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45311</v>
      </c>
    </row>
    <row r="2" spans="2:13" ht="15.75" thickBot="1" x14ac:dyDescent="0.3">
      <c r="M2"/>
    </row>
    <row r="3" spans="2:13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ht="21" x14ac:dyDescent="0.25">
      <c r="B4" s="88">
        <v>1</v>
      </c>
      <c r="C4" s="127" t="s">
        <v>106</v>
      </c>
      <c r="D4" s="128"/>
      <c r="E4" s="129"/>
      <c r="F4" s="7" t="s">
        <v>5</v>
      </c>
      <c r="G4" s="8" t="str">
        <f ca="1">INDIRECT(ADDRESS(23,6))&amp;":"&amp;INDIRECT(ADDRESS(23,7))</f>
        <v>13:12</v>
      </c>
      <c r="H4" s="8" t="str">
        <f ca="1">INDIRECT(ADDRESS(26,7))&amp;":"&amp;INDIRECT(ADDRESS(26,6))</f>
        <v>1:13</v>
      </c>
      <c r="I4" s="8" t="str">
        <f ca="1">INDIRECT(ADDRESS(30,6))&amp;":"&amp;INDIRECT(ADDRESS(30,7))</f>
        <v>4:13</v>
      </c>
      <c r="J4" s="9" t="str">
        <f ca="1">INDIRECT(ADDRESS(35,7))&amp;":"&amp;INDIRECT(ADDRESS(35,6))</f>
        <v>13:4</v>
      </c>
      <c r="K4" s="99">
        <f ca="1">IF(COUNT(F5:J5)=0,"",COUNTIF(F5:J5,"&gt;0")+0.5*COUNTIF(F5:J5,0))</f>
        <v>2</v>
      </c>
      <c r="L4" s="10"/>
      <c r="M4" s="103">
        <v>3</v>
      </c>
    </row>
    <row r="5" spans="2:13" ht="21" x14ac:dyDescent="0.25">
      <c r="B5" s="76"/>
      <c r="C5" s="66"/>
      <c r="D5" s="67"/>
      <c r="E5" s="68"/>
      <c r="F5" s="11" t="s">
        <v>5</v>
      </c>
      <c r="G5" s="12">
        <f ca="1">IF(LEN(INDIRECT(ADDRESS(ROW()-1, COLUMN())))=1,"",INDIRECT(ADDRESS(23,6))-INDIRECT(ADDRESS(23,7)))</f>
        <v>1</v>
      </c>
      <c r="H5" s="12">
        <f ca="1">IF(LEN(INDIRECT(ADDRESS(ROW()-1, COLUMN())))=1,"",INDIRECT(ADDRESS(26,7))-INDIRECT(ADDRESS(26,6)))</f>
        <v>-12</v>
      </c>
      <c r="I5" s="12">
        <f ca="1">IF(LEN(INDIRECT(ADDRESS(ROW()-1, COLUMN())))=1,"",INDIRECT(ADDRESS(30,6))-INDIRECT(ADDRESS(30,7)))</f>
        <v>-9</v>
      </c>
      <c r="J5" s="13">
        <f ca="1">IF(LEN(INDIRECT(ADDRESS(ROW()-1, COLUMN())))=1,"",INDIRECT(ADDRESS(35,7))-INDIRECT(ADDRESS(35,6)))</f>
        <v>9</v>
      </c>
      <c r="K5" s="93"/>
      <c r="L5" s="12">
        <f ca="1">IF(COUNT(F5:J5)=0,"",SUM(F5:J5))</f>
        <v>-11</v>
      </c>
      <c r="M5" s="94"/>
    </row>
    <row r="6" spans="2:13" ht="21" x14ac:dyDescent="0.25">
      <c r="B6" s="64">
        <v>2</v>
      </c>
      <c r="C6" s="66" t="s">
        <v>107</v>
      </c>
      <c r="D6" s="67"/>
      <c r="E6" s="68"/>
      <c r="F6" s="14" t="str">
        <f ca="1">INDIRECT(ADDRESS(23,7))&amp;":"&amp;INDIRECT(ADDRESS(23,6))</f>
        <v>12:13</v>
      </c>
      <c r="G6" s="15" t="s">
        <v>5</v>
      </c>
      <c r="H6" s="16" t="str">
        <f ca="1">INDIRECT(ADDRESS(31,6))&amp;":"&amp;INDIRECT(ADDRESS(31,7))</f>
        <v>4:13</v>
      </c>
      <c r="I6" s="16" t="str">
        <f ca="1">INDIRECT(ADDRESS(34,7))&amp;":"&amp;INDIRECT(ADDRESS(34,6))</f>
        <v>13:7</v>
      </c>
      <c r="J6" s="17" t="str">
        <f ca="1">INDIRECT(ADDRESS(18,6))&amp;":"&amp;INDIRECT(ADDRESS(18,7))</f>
        <v>13:11</v>
      </c>
      <c r="K6" s="93">
        <f ca="1">IF(COUNT(F7:J7)=0,"",COUNTIF(F7:J7,"&gt;0")+0.5*COUNTIF(F7:J7,0))</f>
        <v>2</v>
      </c>
      <c r="L6" s="12"/>
      <c r="M6" s="94">
        <v>4</v>
      </c>
    </row>
    <row r="7" spans="2:13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-1</v>
      </c>
      <c r="G7" s="19" t="s">
        <v>5</v>
      </c>
      <c r="H7" s="12">
        <f ca="1">IF(LEN(INDIRECT(ADDRESS(ROW()-1, COLUMN())))=1,"",INDIRECT(ADDRESS(31,6))-INDIRECT(ADDRESS(31,7)))</f>
        <v>-9</v>
      </c>
      <c r="I7" s="12">
        <f ca="1">IF(LEN(INDIRECT(ADDRESS(ROW()-1, COLUMN())))=1,"",INDIRECT(ADDRESS(34,7))-INDIRECT(ADDRESS(34,6)))</f>
        <v>6</v>
      </c>
      <c r="J7" s="13">
        <f ca="1">IF(LEN(INDIRECT(ADDRESS(ROW()-1, COLUMN())))=1,"",INDIRECT(ADDRESS(18,6))-INDIRECT(ADDRESS(18,7)))</f>
        <v>2</v>
      </c>
      <c r="K7" s="93"/>
      <c r="L7" s="12">
        <f ca="1">IF(COUNT(F7:J7)=0,"",SUM(F7:J7))</f>
        <v>-2</v>
      </c>
      <c r="M7" s="94"/>
    </row>
    <row r="8" spans="2:13" ht="21" x14ac:dyDescent="0.25">
      <c r="B8" s="64">
        <v>3</v>
      </c>
      <c r="C8" s="78" t="s">
        <v>108</v>
      </c>
      <c r="D8" s="79"/>
      <c r="E8" s="80"/>
      <c r="F8" s="14" t="str">
        <f ca="1">INDIRECT(ADDRESS(26,6))&amp;":"&amp;INDIRECT(ADDRESS(26,7))</f>
        <v>13:1</v>
      </c>
      <c r="G8" s="16" t="str">
        <f ca="1">INDIRECT(ADDRESS(31,7))&amp;":"&amp;INDIRECT(ADDRESS(31,6))</f>
        <v>13:4</v>
      </c>
      <c r="H8" s="15" t="s">
        <v>5</v>
      </c>
      <c r="I8" s="16" t="str">
        <f ca="1">INDIRECT(ADDRESS(19,6))&amp;":"&amp;INDIRECT(ADDRESS(19,7))</f>
        <v>10:11</v>
      </c>
      <c r="J8" s="17" t="str">
        <f ca="1">INDIRECT(ADDRESS(22,7))&amp;":"&amp;INDIRECT(ADDRESS(22,6))</f>
        <v>13:12</v>
      </c>
      <c r="K8" s="93">
        <f ca="1">IF(COUNT(F9:J9)=0,"",COUNTIF(F9:J9,"&gt;0")+0.5*COUNTIF(F9:J9,0))</f>
        <v>3</v>
      </c>
      <c r="L8" s="12"/>
      <c r="M8" s="94">
        <v>2</v>
      </c>
    </row>
    <row r="9" spans="2:13" ht="21" x14ac:dyDescent="0.25">
      <c r="B9" s="76"/>
      <c r="C9" s="78"/>
      <c r="D9" s="79"/>
      <c r="E9" s="80"/>
      <c r="F9" s="18">
        <f ca="1">IF(LEN(INDIRECT(ADDRESS(ROW()-1, COLUMN())))=1,"",INDIRECT(ADDRESS(26,6))-INDIRECT(ADDRESS(26,7)))</f>
        <v>12</v>
      </c>
      <c r="G9" s="12">
        <f ca="1">IF(LEN(INDIRECT(ADDRESS(ROW()-1, COLUMN())))=1,"",INDIRECT(ADDRESS(31,7))-INDIRECT(ADDRESS(31,6)))</f>
        <v>9</v>
      </c>
      <c r="H9" s="19" t="s">
        <v>5</v>
      </c>
      <c r="I9" s="12">
        <f ca="1">IF(LEN(INDIRECT(ADDRESS(ROW()-1, COLUMN())))=1,"",INDIRECT(ADDRESS(19,6))-INDIRECT(ADDRESS(19,7)))</f>
        <v>-1</v>
      </c>
      <c r="J9" s="13">
        <f ca="1">IF(LEN(INDIRECT(ADDRESS(ROW()-1, COLUMN())))=1,"",INDIRECT(ADDRESS(22,7))-INDIRECT(ADDRESS(22,6)))</f>
        <v>1</v>
      </c>
      <c r="K9" s="93"/>
      <c r="L9" s="12">
        <f ca="1">IF(COUNT(F9:J9)=0,"",SUM(F9:J9))</f>
        <v>21</v>
      </c>
      <c r="M9" s="94"/>
    </row>
    <row r="10" spans="2:13" ht="21" x14ac:dyDescent="0.25">
      <c r="B10" s="64">
        <v>4</v>
      </c>
      <c r="C10" s="78" t="s">
        <v>109</v>
      </c>
      <c r="D10" s="79"/>
      <c r="E10" s="80"/>
      <c r="F10" s="14" t="str">
        <f ca="1">INDIRECT(ADDRESS(30,7))&amp;":"&amp;INDIRECT(ADDRESS(30,6))</f>
        <v>13:4</v>
      </c>
      <c r="G10" s="16" t="str">
        <f ca="1">INDIRECT(ADDRESS(34,6))&amp;":"&amp;INDIRECT(ADDRESS(34,7))</f>
        <v>7:13</v>
      </c>
      <c r="H10" s="16" t="str">
        <f ca="1">INDIRECT(ADDRESS(19,7))&amp;":"&amp;INDIRECT(ADDRESS(19,6))</f>
        <v>11:10</v>
      </c>
      <c r="I10" s="15" t="s">
        <v>5</v>
      </c>
      <c r="J10" s="17" t="str">
        <f ca="1">INDIRECT(ADDRESS(27,6))&amp;":"&amp;INDIRECT(ADDRESS(27,7))</f>
        <v>13:6</v>
      </c>
      <c r="K10" s="93">
        <f ca="1">IF(COUNT(F11:J11)=0,"",COUNTIF(F11:J11,"&gt;0")+0.5*COUNTIF(F11:J11,0))</f>
        <v>3</v>
      </c>
      <c r="L10" s="12"/>
      <c r="M10" s="94">
        <v>1</v>
      </c>
    </row>
    <row r="11" spans="2:13" ht="21" x14ac:dyDescent="0.25">
      <c r="B11" s="76"/>
      <c r="C11" s="78"/>
      <c r="D11" s="79"/>
      <c r="E11" s="80"/>
      <c r="F11" s="18">
        <f ca="1">IF(LEN(INDIRECT(ADDRESS(ROW()-1, COLUMN())))=1,"",INDIRECT(ADDRESS(30,7))-INDIRECT(ADDRESS(30,6)))</f>
        <v>9</v>
      </c>
      <c r="G11" s="12">
        <f ca="1">IF(LEN(INDIRECT(ADDRESS(ROW()-1, COLUMN())))=1,"",INDIRECT(ADDRESS(34,6))-INDIRECT(ADDRESS(34,7)))</f>
        <v>-6</v>
      </c>
      <c r="H11" s="12">
        <f ca="1">IF(LEN(INDIRECT(ADDRESS(ROW()-1, COLUMN())))=1,"",INDIRECT(ADDRESS(19,7))-INDIRECT(ADDRESS(19,6)))</f>
        <v>1</v>
      </c>
      <c r="I11" s="19" t="s">
        <v>5</v>
      </c>
      <c r="J11" s="13">
        <f ca="1">IF(LEN(INDIRECT(ADDRESS(ROW()-1, COLUMN())))=1,"",INDIRECT(ADDRESS(27,6))-INDIRECT(ADDRESS(27,7)))</f>
        <v>7</v>
      </c>
      <c r="K11" s="93"/>
      <c r="L11" s="12">
        <f ca="1">IF(COUNT(F11:J11)=0,"",SUM(F11:J11))</f>
        <v>11</v>
      </c>
      <c r="M11" s="94"/>
    </row>
    <row r="12" spans="2:13" ht="21" x14ac:dyDescent="0.25">
      <c r="B12" s="64">
        <v>5</v>
      </c>
      <c r="C12" s="66" t="s">
        <v>110</v>
      </c>
      <c r="D12" s="67"/>
      <c r="E12" s="68"/>
      <c r="F12" s="14" t="str">
        <f ca="1">INDIRECT(ADDRESS(35,6))&amp;":"&amp;INDIRECT(ADDRESS(35,7))</f>
        <v>4:13</v>
      </c>
      <c r="G12" s="16" t="str">
        <f ca="1">INDIRECT(ADDRESS(18,7))&amp;":"&amp;INDIRECT(ADDRESS(18,6))</f>
        <v>11:13</v>
      </c>
      <c r="H12" s="16" t="str">
        <f ca="1">INDIRECT(ADDRESS(22,6))&amp;":"&amp;INDIRECT(ADDRESS(22,7))</f>
        <v>12:13</v>
      </c>
      <c r="I12" s="16" t="str">
        <f ca="1">INDIRECT(ADDRESS(27,7))&amp;":"&amp;INDIRECT(ADDRESS(27,6))</f>
        <v>6:13</v>
      </c>
      <c r="J12" s="20" t="s">
        <v>5</v>
      </c>
      <c r="K12" s="93">
        <f ca="1">IF(COUNT(F13:J13)=0,"",COUNTIF(F13:J13,"&gt;0")+0.5*COUNTIF(F13:J13,0))</f>
        <v>0</v>
      </c>
      <c r="L12" s="12"/>
      <c r="M12" s="94">
        <v>5</v>
      </c>
    </row>
    <row r="13" spans="2:13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-9</v>
      </c>
      <c r="G13" s="22">
        <f ca="1">IF(LEN(INDIRECT(ADDRESS(ROW()-1, COLUMN())))=1,"",INDIRECT(ADDRESS(18,7))-INDIRECT(ADDRESS(18,6)))</f>
        <v>-2</v>
      </c>
      <c r="H13" s="22">
        <f ca="1">IF(LEN(INDIRECT(ADDRESS(ROW()-1, COLUMN())))=1,"",INDIRECT(ADDRESS(22,6))-INDIRECT(ADDRESS(22,7)))</f>
        <v>-1</v>
      </c>
      <c r="I13" s="22">
        <f ca="1">IF(LEN(INDIRECT(ADDRESS(ROW()-1, COLUMN())))=1,"",INDIRECT(ADDRESS(27,7))-INDIRECT(ADDRESS(27,6)))</f>
        <v>-7</v>
      </c>
      <c r="J13" s="23" t="s">
        <v>5</v>
      </c>
      <c r="K13" s="95"/>
      <c r="L13" s="22">
        <f ca="1">IF(COUNT(F13:J13)=0,"",SUM(F13:J13))</f>
        <v>-19</v>
      </c>
      <c r="M13" s="96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Трофимов Александр</v>
      </c>
      <c r="D18" s="100"/>
      <c r="E18" s="101"/>
      <c r="F18" s="38">
        <v>13</v>
      </c>
      <c r="G18" s="39">
        <v>11</v>
      </c>
      <c r="H18" s="102" t="str">
        <f ca="1">IF(ISBLANK(INDIRECT(ADDRESS(K18*2+2,3))),"",INDIRECT(ADDRESS(K18*2+2,3)))</f>
        <v>Франк Николай</v>
      </c>
      <c r="I18" s="100"/>
      <c r="J18" s="100"/>
      <c r="K18" s="37">
        <v>5</v>
      </c>
      <c r="L18" s="40" t="s">
        <v>13</v>
      </c>
      <c r="M18" s="28">
        <v>7</v>
      </c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Трутнев Евгений</v>
      </c>
      <c r="D19" s="100"/>
      <c r="E19" s="101"/>
      <c r="F19" s="38">
        <v>10</v>
      </c>
      <c r="G19" s="39">
        <v>11</v>
      </c>
      <c r="H19" s="102" t="str">
        <f ca="1">IF(ISBLANK(INDIRECT(ADDRESS(K19*2+2,3))),"",INDIRECT(ADDRESS(K19*2+2,3)))</f>
        <v>Дубовицкий Игорь</v>
      </c>
      <c r="I19" s="100"/>
      <c r="J19" s="100"/>
      <c r="K19" s="37">
        <v>4</v>
      </c>
      <c r="L19" s="40" t="s">
        <v>13</v>
      </c>
      <c r="M19" s="28">
        <v>8</v>
      </c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Франк Николай</v>
      </c>
      <c r="D22" s="100"/>
      <c r="E22" s="101"/>
      <c r="F22" s="38">
        <v>12</v>
      </c>
      <c r="G22" s="39">
        <v>13</v>
      </c>
      <c r="H22" s="102" t="str">
        <f ca="1">IF(ISBLANK(INDIRECT(ADDRESS(K22*2+2,3))),"",INDIRECT(ADDRESS(K22*2+2,3)))</f>
        <v>Трутнев Евгений</v>
      </c>
      <c r="I22" s="100"/>
      <c r="J22" s="100"/>
      <c r="K22" s="37">
        <v>3</v>
      </c>
      <c r="L22" s="40" t="s">
        <v>13</v>
      </c>
      <c r="M22" s="28">
        <v>1</v>
      </c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Каргашин Илья</v>
      </c>
      <c r="D23" s="100"/>
      <c r="E23" s="101"/>
      <c r="F23" s="38">
        <v>13</v>
      </c>
      <c r="G23" s="39">
        <v>12</v>
      </c>
      <c r="H23" s="102" t="str">
        <f ca="1">IF(ISBLANK(INDIRECT(ADDRESS(K23*2+2,3))),"",INDIRECT(ADDRESS(K23*2+2,3)))</f>
        <v>Трофимов Александр</v>
      </c>
      <c r="I23" s="100"/>
      <c r="J23" s="100"/>
      <c r="K23" s="37">
        <v>2</v>
      </c>
      <c r="L23" s="40" t="s">
        <v>13</v>
      </c>
      <c r="M23" s="28">
        <v>2</v>
      </c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Трутнев Евгений</v>
      </c>
      <c r="D26" s="100"/>
      <c r="E26" s="101"/>
      <c r="F26" s="38">
        <v>13</v>
      </c>
      <c r="G26" s="39">
        <v>1</v>
      </c>
      <c r="H26" s="102" t="str">
        <f ca="1">IF(ISBLANK(INDIRECT(ADDRESS(K26*2+2,3))),"",INDIRECT(ADDRESS(K26*2+2,3)))</f>
        <v>Каргашин Илья</v>
      </c>
      <c r="I26" s="100"/>
      <c r="J26" s="100"/>
      <c r="K26" s="37">
        <v>1</v>
      </c>
      <c r="L26" s="40" t="s">
        <v>13</v>
      </c>
      <c r="M26" s="28">
        <v>5</v>
      </c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Дубовицкий Игорь</v>
      </c>
      <c r="D27" s="100"/>
      <c r="E27" s="101"/>
      <c r="F27" s="38">
        <v>13</v>
      </c>
      <c r="G27" s="39">
        <v>6</v>
      </c>
      <c r="H27" s="102" t="str">
        <f ca="1">IF(ISBLANK(INDIRECT(ADDRESS(K27*2+2,3))),"",INDIRECT(ADDRESS(K27*2+2,3)))</f>
        <v>Франк Николай</v>
      </c>
      <c r="I27" s="100"/>
      <c r="J27" s="100"/>
      <c r="K27" s="37">
        <v>5</v>
      </c>
      <c r="L27" s="40" t="s">
        <v>13</v>
      </c>
      <c r="M27" s="28">
        <v>6</v>
      </c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Каргашин Илья</v>
      </c>
      <c r="D30" s="100"/>
      <c r="E30" s="101"/>
      <c r="F30" s="38">
        <v>4</v>
      </c>
      <c r="G30" s="39">
        <v>13</v>
      </c>
      <c r="H30" s="102" t="str">
        <f ca="1">IF(ISBLANK(INDIRECT(ADDRESS(K30*2+2,3))),"",INDIRECT(ADDRESS(K30*2+2,3)))</f>
        <v>Дубовицкий Игорь</v>
      </c>
      <c r="I30" s="100"/>
      <c r="J30" s="100"/>
      <c r="K30" s="37">
        <v>4</v>
      </c>
      <c r="L30" s="40" t="s">
        <v>13</v>
      </c>
      <c r="M30" s="28">
        <v>7</v>
      </c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Трофимов Александр</v>
      </c>
      <c r="D31" s="100"/>
      <c r="E31" s="101"/>
      <c r="F31" s="38">
        <v>4</v>
      </c>
      <c r="G31" s="39">
        <v>13</v>
      </c>
      <c r="H31" s="102" t="str">
        <f ca="1">IF(ISBLANK(INDIRECT(ADDRESS(K31*2+2,3))),"",INDIRECT(ADDRESS(K31*2+2,3)))</f>
        <v>Трутнев Евгений</v>
      </c>
      <c r="I31" s="100"/>
      <c r="J31" s="100"/>
      <c r="K31" s="37">
        <v>3</v>
      </c>
      <c r="L31" s="40" t="s">
        <v>13</v>
      </c>
      <c r="M31" s="28">
        <v>8</v>
      </c>
    </row>
    <row r="32" spans="1:13" s="36" customFormat="1" ht="21" x14ac:dyDescent="0.35">
      <c r="A32" s="35"/>
      <c r="M32" s="29"/>
    </row>
    <row r="33" spans="1:15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5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Дубовицкий Игорь</v>
      </c>
      <c r="D34" s="100"/>
      <c r="E34" s="101"/>
      <c r="F34" s="38">
        <v>7</v>
      </c>
      <c r="G34" s="39">
        <v>13</v>
      </c>
      <c r="H34" s="102" t="str">
        <f ca="1">IF(ISBLANK(INDIRECT(ADDRESS(K34*2+2,3))),"",INDIRECT(ADDRESS(K34*2+2,3)))</f>
        <v>Трофимов Александр</v>
      </c>
      <c r="I34" s="100"/>
      <c r="J34" s="100"/>
      <c r="K34" s="37">
        <v>2</v>
      </c>
      <c r="L34" s="40" t="s">
        <v>13</v>
      </c>
      <c r="M34" s="28">
        <v>1</v>
      </c>
      <c r="O34" s="36" t="s">
        <v>111</v>
      </c>
    </row>
    <row r="35" spans="1:15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Франк Николай</v>
      </c>
      <c r="D35" s="100"/>
      <c r="E35" s="101"/>
      <c r="F35" s="38">
        <v>4</v>
      </c>
      <c r="G35" s="39">
        <v>13</v>
      </c>
      <c r="H35" s="102" t="str">
        <f ca="1">IF(ISBLANK(INDIRECT(ADDRESS(K35*2+2,3))),"",INDIRECT(ADDRESS(K35*2+2,3)))</f>
        <v>Каргашин Илья</v>
      </c>
      <c r="I35" s="100"/>
      <c r="J35" s="100"/>
      <c r="K35" s="37">
        <v>1</v>
      </c>
      <c r="L35" s="40" t="s">
        <v>13</v>
      </c>
      <c r="M35" s="28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Q9" sqref="Q9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customFormat="1" ht="31.5" x14ac:dyDescent="0.25">
      <c r="B1" s="126" t="s">
        <v>91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45311</v>
      </c>
    </row>
    <row r="2" spans="2:13" customFormat="1" ht="15.75" thickBot="1" x14ac:dyDescent="0.3"/>
    <row r="3" spans="2:13" customFormat="1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customFormat="1" ht="21" x14ac:dyDescent="0.25">
      <c r="B4" s="88">
        <v>1</v>
      </c>
      <c r="C4" s="127" t="s">
        <v>118</v>
      </c>
      <c r="D4" s="128"/>
      <c r="E4" s="129"/>
      <c r="F4" s="7" t="s">
        <v>5</v>
      </c>
      <c r="G4" s="8" t="str">
        <f ca="1">INDIRECT(ADDRESS(23,6))&amp;":"&amp;INDIRECT(ADDRESS(23,7))</f>
        <v>13:3</v>
      </c>
      <c r="H4" s="8" t="str">
        <f ca="1">INDIRECT(ADDRESS(26,7))&amp;":"&amp;INDIRECT(ADDRESS(26,6))</f>
        <v>5:13</v>
      </c>
      <c r="I4" s="8" t="str">
        <f ca="1">INDIRECT(ADDRESS(30,6))&amp;":"&amp;INDIRECT(ADDRESS(30,7))</f>
        <v>9:11</v>
      </c>
      <c r="J4" s="9" t="str">
        <f ca="1">INDIRECT(ADDRESS(35,7))&amp;":"&amp;INDIRECT(ADDRESS(35,6))</f>
        <v>13:1</v>
      </c>
      <c r="K4" s="99">
        <f ca="1">IF(COUNT(F5:J5)=0,"",COUNTIF(F5:J5,"&gt;0")+0.5*COUNTIF(F5:J5,0))</f>
        <v>2</v>
      </c>
      <c r="L4" s="10"/>
      <c r="M4" s="103">
        <v>3</v>
      </c>
    </row>
    <row r="5" spans="2:13" customFormat="1" ht="21" x14ac:dyDescent="0.25">
      <c r="B5" s="76"/>
      <c r="C5" s="66"/>
      <c r="D5" s="67"/>
      <c r="E5" s="68"/>
      <c r="F5" s="11" t="s">
        <v>5</v>
      </c>
      <c r="G5" s="12">
        <f ca="1">IF(LEN(INDIRECT(ADDRESS(ROW()-1, COLUMN())))=1,"",INDIRECT(ADDRESS(23,6))-INDIRECT(ADDRESS(23,7)))</f>
        <v>10</v>
      </c>
      <c r="H5" s="12">
        <f ca="1">IF(LEN(INDIRECT(ADDRESS(ROW()-1, COLUMN())))=1,"",INDIRECT(ADDRESS(26,7))-INDIRECT(ADDRESS(26,6)))</f>
        <v>-8</v>
      </c>
      <c r="I5" s="12">
        <f ca="1">IF(LEN(INDIRECT(ADDRESS(ROW()-1, COLUMN())))=1,"",INDIRECT(ADDRESS(30,6))-INDIRECT(ADDRESS(30,7)))</f>
        <v>-2</v>
      </c>
      <c r="J5" s="13">
        <f ca="1">IF(LEN(INDIRECT(ADDRESS(ROW()-1, COLUMN())))=1,"",INDIRECT(ADDRESS(35,7))-INDIRECT(ADDRESS(35,6)))</f>
        <v>12</v>
      </c>
      <c r="K5" s="93"/>
      <c r="L5" s="12">
        <f ca="1">IF(COUNT(F5:J5)=0,"",SUM(F5:J5))</f>
        <v>12</v>
      </c>
      <c r="M5" s="94"/>
    </row>
    <row r="6" spans="2:13" customFormat="1" ht="21" x14ac:dyDescent="0.25">
      <c r="B6" s="64">
        <v>2</v>
      </c>
      <c r="C6" s="66" t="s">
        <v>119</v>
      </c>
      <c r="D6" s="67"/>
      <c r="E6" s="68"/>
      <c r="F6" s="14" t="str">
        <f ca="1">INDIRECT(ADDRESS(23,7))&amp;":"&amp;INDIRECT(ADDRESS(23,6))</f>
        <v>3:13</v>
      </c>
      <c r="G6" s="15" t="s">
        <v>5</v>
      </c>
      <c r="H6" s="16" t="str">
        <f ca="1">INDIRECT(ADDRESS(31,6))&amp;":"&amp;INDIRECT(ADDRESS(31,7))</f>
        <v>7:13</v>
      </c>
      <c r="I6" s="16" t="str">
        <f ca="1">INDIRECT(ADDRESS(34,7))&amp;":"&amp;INDIRECT(ADDRESS(34,6))</f>
        <v>7:13</v>
      </c>
      <c r="J6" s="17" t="str">
        <f ca="1">INDIRECT(ADDRESS(18,6))&amp;":"&amp;INDIRECT(ADDRESS(18,7))</f>
        <v>13:4</v>
      </c>
      <c r="K6" s="93">
        <f ca="1">IF(COUNT(F7:J7)=0,"",COUNTIF(F7:J7,"&gt;0")+0.5*COUNTIF(F7:J7,0))</f>
        <v>1</v>
      </c>
      <c r="L6" s="12"/>
      <c r="M6" s="94">
        <v>4</v>
      </c>
    </row>
    <row r="7" spans="2:13" customFormat="1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-10</v>
      </c>
      <c r="G7" s="19" t="s">
        <v>5</v>
      </c>
      <c r="H7" s="12">
        <f ca="1">IF(LEN(INDIRECT(ADDRESS(ROW()-1, COLUMN())))=1,"",INDIRECT(ADDRESS(31,6))-INDIRECT(ADDRESS(31,7)))</f>
        <v>-6</v>
      </c>
      <c r="I7" s="12">
        <f ca="1">IF(LEN(INDIRECT(ADDRESS(ROW()-1, COLUMN())))=1,"",INDIRECT(ADDRESS(34,7))-INDIRECT(ADDRESS(34,6)))</f>
        <v>-6</v>
      </c>
      <c r="J7" s="13">
        <f ca="1">IF(LEN(INDIRECT(ADDRESS(ROW()-1, COLUMN())))=1,"",INDIRECT(ADDRESS(18,6))-INDIRECT(ADDRESS(18,7)))</f>
        <v>9</v>
      </c>
      <c r="K7" s="93"/>
      <c r="L7" s="12">
        <f ca="1">IF(COUNT(F7:J7)=0,"",SUM(F7:J7))</f>
        <v>-13</v>
      </c>
      <c r="M7" s="94"/>
    </row>
    <row r="8" spans="2:13" customFormat="1" ht="21" x14ac:dyDescent="0.25">
      <c r="B8" s="64">
        <v>3</v>
      </c>
      <c r="C8" s="78" t="s">
        <v>112</v>
      </c>
      <c r="D8" s="79"/>
      <c r="E8" s="80"/>
      <c r="F8" s="14" t="str">
        <f ca="1">INDIRECT(ADDRESS(26,6))&amp;":"&amp;INDIRECT(ADDRESS(26,7))</f>
        <v>13:5</v>
      </c>
      <c r="G8" s="16" t="str">
        <f ca="1">INDIRECT(ADDRESS(31,7))&amp;":"&amp;INDIRECT(ADDRESS(31,6))</f>
        <v>13:7</v>
      </c>
      <c r="H8" s="15" t="s">
        <v>5</v>
      </c>
      <c r="I8" s="16" t="str">
        <f ca="1">INDIRECT(ADDRESS(19,6))&amp;":"&amp;INDIRECT(ADDRESS(19,7))</f>
        <v>9:8</v>
      </c>
      <c r="J8" s="17" t="str">
        <f ca="1">INDIRECT(ADDRESS(22,7))&amp;":"&amp;INDIRECT(ADDRESS(22,6))</f>
        <v>13:6</v>
      </c>
      <c r="K8" s="93">
        <f ca="1">IF(COUNT(F9:J9)=0,"",COUNTIF(F9:J9,"&gt;0")+0.5*COUNTIF(F9:J9,0))</f>
        <v>4</v>
      </c>
      <c r="L8" s="12"/>
      <c r="M8" s="94">
        <v>1</v>
      </c>
    </row>
    <row r="9" spans="2:13" customFormat="1" ht="21" x14ac:dyDescent="0.25">
      <c r="B9" s="76"/>
      <c r="C9" s="78"/>
      <c r="D9" s="79"/>
      <c r="E9" s="80"/>
      <c r="F9" s="18">
        <f ca="1">IF(LEN(INDIRECT(ADDRESS(ROW()-1, COLUMN())))=1,"",INDIRECT(ADDRESS(26,6))-INDIRECT(ADDRESS(26,7)))</f>
        <v>8</v>
      </c>
      <c r="G9" s="12">
        <f ca="1">IF(LEN(INDIRECT(ADDRESS(ROW()-1, COLUMN())))=1,"",INDIRECT(ADDRESS(31,7))-INDIRECT(ADDRESS(31,6)))</f>
        <v>6</v>
      </c>
      <c r="H9" s="19" t="s">
        <v>5</v>
      </c>
      <c r="I9" s="12">
        <f ca="1">IF(LEN(INDIRECT(ADDRESS(ROW()-1, COLUMN())))=1,"",INDIRECT(ADDRESS(19,6))-INDIRECT(ADDRESS(19,7)))</f>
        <v>1</v>
      </c>
      <c r="J9" s="13">
        <f ca="1">IF(LEN(INDIRECT(ADDRESS(ROW()-1, COLUMN())))=1,"",INDIRECT(ADDRESS(22,7))-INDIRECT(ADDRESS(22,6)))</f>
        <v>7</v>
      </c>
      <c r="K9" s="93"/>
      <c r="L9" s="12">
        <f ca="1">IF(COUNT(F9:J9)=0,"",SUM(F9:J9))</f>
        <v>22</v>
      </c>
      <c r="M9" s="94"/>
    </row>
    <row r="10" spans="2:13" customFormat="1" ht="21" x14ac:dyDescent="0.25">
      <c r="B10" s="64">
        <v>4</v>
      </c>
      <c r="C10" s="78" t="s">
        <v>120</v>
      </c>
      <c r="D10" s="79"/>
      <c r="E10" s="80"/>
      <c r="F10" s="14" t="str">
        <f ca="1">INDIRECT(ADDRESS(30,7))&amp;":"&amp;INDIRECT(ADDRESS(30,6))</f>
        <v>11:9</v>
      </c>
      <c r="G10" s="16" t="str">
        <f ca="1">INDIRECT(ADDRESS(34,6))&amp;":"&amp;INDIRECT(ADDRESS(34,7))</f>
        <v>13:7</v>
      </c>
      <c r="H10" s="16" t="str">
        <f ca="1">INDIRECT(ADDRESS(19,7))&amp;":"&amp;INDIRECT(ADDRESS(19,6))</f>
        <v>8:9</v>
      </c>
      <c r="I10" s="15" t="s">
        <v>5</v>
      </c>
      <c r="J10" s="17" t="str">
        <f ca="1">INDIRECT(ADDRESS(27,6))&amp;":"&amp;INDIRECT(ADDRESS(27,7))</f>
        <v>13:9</v>
      </c>
      <c r="K10" s="93">
        <f ca="1">IF(COUNT(F11:J11)=0,"",COUNTIF(F11:J11,"&gt;0")+0.5*COUNTIF(F11:J11,0))</f>
        <v>3</v>
      </c>
      <c r="L10" s="12"/>
      <c r="M10" s="94">
        <v>2</v>
      </c>
    </row>
    <row r="11" spans="2:13" customFormat="1" ht="21" x14ac:dyDescent="0.25">
      <c r="B11" s="76"/>
      <c r="C11" s="78"/>
      <c r="D11" s="79"/>
      <c r="E11" s="80"/>
      <c r="F11" s="18">
        <f ca="1">IF(LEN(INDIRECT(ADDRESS(ROW()-1, COLUMN())))=1,"",INDIRECT(ADDRESS(30,7))-INDIRECT(ADDRESS(30,6)))</f>
        <v>2</v>
      </c>
      <c r="G11" s="12">
        <f ca="1">IF(LEN(INDIRECT(ADDRESS(ROW()-1, COLUMN())))=1,"",INDIRECT(ADDRESS(34,6))-INDIRECT(ADDRESS(34,7)))</f>
        <v>6</v>
      </c>
      <c r="H11" s="12">
        <f ca="1">IF(LEN(INDIRECT(ADDRESS(ROW()-1, COLUMN())))=1,"",INDIRECT(ADDRESS(19,7))-INDIRECT(ADDRESS(19,6)))</f>
        <v>-1</v>
      </c>
      <c r="I11" s="19" t="s">
        <v>5</v>
      </c>
      <c r="J11" s="13">
        <f ca="1">IF(LEN(INDIRECT(ADDRESS(ROW()-1, COLUMN())))=1,"",INDIRECT(ADDRESS(27,6))-INDIRECT(ADDRESS(27,7)))</f>
        <v>4</v>
      </c>
      <c r="K11" s="93"/>
      <c r="L11" s="12">
        <f ca="1">IF(COUNT(F11:J11)=0,"",SUM(F11:J11))</f>
        <v>11</v>
      </c>
      <c r="M11" s="94"/>
    </row>
    <row r="12" spans="2:13" customFormat="1" ht="21" x14ac:dyDescent="0.25">
      <c r="B12" s="64">
        <v>5</v>
      </c>
      <c r="C12" s="66" t="s">
        <v>121</v>
      </c>
      <c r="D12" s="67"/>
      <c r="E12" s="68"/>
      <c r="F12" s="14" t="str">
        <f ca="1">INDIRECT(ADDRESS(35,6))&amp;":"&amp;INDIRECT(ADDRESS(35,7))</f>
        <v>1:13</v>
      </c>
      <c r="G12" s="16" t="str">
        <f ca="1">INDIRECT(ADDRESS(18,7))&amp;":"&amp;INDIRECT(ADDRESS(18,6))</f>
        <v>4:13</v>
      </c>
      <c r="H12" s="16" t="str">
        <f ca="1">INDIRECT(ADDRESS(22,6))&amp;":"&amp;INDIRECT(ADDRESS(22,7))</f>
        <v>6:13</v>
      </c>
      <c r="I12" s="16" t="str">
        <f ca="1">INDIRECT(ADDRESS(27,7))&amp;":"&amp;INDIRECT(ADDRESS(27,6))</f>
        <v>9:13</v>
      </c>
      <c r="J12" s="20" t="s">
        <v>5</v>
      </c>
      <c r="K12" s="93">
        <f ca="1">IF(COUNT(F13:J13)=0,"",COUNTIF(F13:J13,"&gt;0")+0.5*COUNTIF(F13:J13,0))</f>
        <v>0</v>
      </c>
      <c r="L12" s="12"/>
      <c r="M12" s="94">
        <v>5</v>
      </c>
    </row>
    <row r="13" spans="2:13" customFormat="1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-12</v>
      </c>
      <c r="G13" s="22">
        <f ca="1">IF(LEN(INDIRECT(ADDRESS(ROW()-1, COLUMN())))=1,"",INDIRECT(ADDRESS(18,7))-INDIRECT(ADDRESS(18,6)))</f>
        <v>-9</v>
      </c>
      <c r="H13" s="22">
        <f ca="1">IF(LEN(INDIRECT(ADDRESS(ROW()-1, COLUMN())))=1,"",INDIRECT(ADDRESS(22,6))-INDIRECT(ADDRESS(22,7)))</f>
        <v>-7</v>
      </c>
      <c r="I13" s="22">
        <f ca="1">IF(LEN(INDIRECT(ADDRESS(ROW()-1, COLUMN())))=1,"",INDIRECT(ADDRESS(27,7))-INDIRECT(ADDRESS(27,6)))</f>
        <v>-4</v>
      </c>
      <c r="J13" s="23" t="s">
        <v>5</v>
      </c>
      <c r="K13" s="95"/>
      <c r="L13" s="22">
        <f ca="1">IF(COUNT(F13:J13)=0,"",SUM(F13:J13))</f>
        <v>-32</v>
      </c>
      <c r="M13" s="96"/>
    </row>
    <row r="14" spans="2:13" customFormat="1" x14ac:dyDescent="0.25"/>
    <row r="15" spans="2:13" customFormat="1" x14ac:dyDescent="0.25"/>
    <row r="16" spans="2:13" customFormat="1" x14ac:dyDescent="0.25"/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Папоян Григорий</v>
      </c>
      <c r="D18" s="100"/>
      <c r="E18" s="101"/>
      <c r="F18" s="38">
        <v>13</v>
      </c>
      <c r="G18" s="39">
        <v>4</v>
      </c>
      <c r="H18" s="102" t="str">
        <f ca="1">IF(ISBLANK(INDIRECT(ADDRESS(K18*2+2,3))),"",INDIRECT(ADDRESS(K18*2+2,3)))</f>
        <v>Тюнин Иван</v>
      </c>
      <c r="I18" s="100"/>
      <c r="J18" s="100"/>
      <c r="K18" s="37">
        <v>5</v>
      </c>
      <c r="L18" s="40" t="s">
        <v>13</v>
      </c>
      <c r="M18" s="28">
        <v>3</v>
      </c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Вахрушев Владимир</v>
      </c>
      <c r="D19" s="100"/>
      <c r="E19" s="101"/>
      <c r="F19" s="38">
        <v>9</v>
      </c>
      <c r="G19" s="39">
        <v>8</v>
      </c>
      <c r="H19" s="102" t="str">
        <f ca="1">IF(ISBLANK(INDIRECT(ADDRESS(K19*2+2,3))),"",INDIRECT(ADDRESS(K19*2+2,3)))</f>
        <v>Поляков Алексей</v>
      </c>
      <c r="I19" s="100"/>
      <c r="J19" s="100"/>
      <c r="K19" s="37">
        <v>4</v>
      </c>
      <c r="L19" s="40" t="s">
        <v>13</v>
      </c>
      <c r="M19" s="28">
        <v>4</v>
      </c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Тюнин Иван</v>
      </c>
      <c r="D22" s="100"/>
      <c r="E22" s="101"/>
      <c r="F22" s="38">
        <v>6</v>
      </c>
      <c r="G22" s="39">
        <v>13</v>
      </c>
      <c r="H22" s="102" t="str">
        <f ca="1">IF(ISBLANK(INDIRECT(ADDRESS(K22*2+2,3))),"",INDIRECT(ADDRESS(K22*2+2,3)))</f>
        <v>Вахрушев Владимир</v>
      </c>
      <c r="I22" s="100"/>
      <c r="J22" s="100"/>
      <c r="K22" s="37">
        <v>3</v>
      </c>
      <c r="L22" s="40" t="s">
        <v>13</v>
      </c>
      <c r="M22" s="28">
        <v>5</v>
      </c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Воронов Олег</v>
      </c>
      <c r="D23" s="100"/>
      <c r="E23" s="101"/>
      <c r="F23" s="38">
        <v>13</v>
      </c>
      <c r="G23" s="39">
        <v>3</v>
      </c>
      <c r="H23" s="102" t="str">
        <f ca="1">IF(ISBLANK(INDIRECT(ADDRESS(K23*2+2,3))),"",INDIRECT(ADDRESS(K23*2+2,3)))</f>
        <v>Папоян Григорий</v>
      </c>
      <c r="I23" s="100"/>
      <c r="J23" s="100"/>
      <c r="K23" s="37">
        <v>2</v>
      </c>
      <c r="L23" s="40" t="s">
        <v>13</v>
      </c>
      <c r="M23" s="28">
        <v>6</v>
      </c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Вахрушев Владимир</v>
      </c>
      <c r="D26" s="100"/>
      <c r="E26" s="101"/>
      <c r="F26" s="38">
        <v>13</v>
      </c>
      <c r="G26" s="39">
        <v>5</v>
      </c>
      <c r="H26" s="102" t="str">
        <f ca="1">IF(ISBLANK(INDIRECT(ADDRESS(K26*2+2,3))),"",INDIRECT(ADDRESS(K26*2+2,3)))</f>
        <v>Воронов Олег</v>
      </c>
      <c r="I26" s="100"/>
      <c r="J26" s="100"/>
      <c r="K26" s="37">
        <v>1</v>
      </c>
      <c r="L26" s="40" t="s">
        <v>13</v>
      </c>
      <c r="M26" s="28">
        <v>7</v>
      </c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Поляков Алексей</v>
      </c>
      <c r="D27" s="100"/>
      <c r="E27" s="101"/>
      <c r="F27" s="38">
        <v>13</v>
      </c>
      <c r="G27" s="39">
        <v>9</v>
      </c>
      <c r="H27" s="102" t="str">
        <f ca="1">IF(ISBLANK(INDIRECT(ADDRESS(K27*2+2,3))),"",INDIRECT(ADDRESS(K27*2+2,3)))</f>
        <v>Тюнин Иван</v>
      </c>
      <c r="I27" s="100"/>
      <c r="J27" s="100"/>
      <c r="K27" s="37">
        <v>5</v>
      </c>
      <c r="L27" s="40" t="s">
        <v>13</v>
      </c>
      <c r="M27" s="28">
        <v>8</v>
      </c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Воронов Олег</v>
      </c>
      <c r="D30" s="100"/>
      <c r="E30" s="101"/>
      <c r="F30" s="38">
        <v>9</v>
      </c>
      <c r="G30" s="39">
        <v>11</v>
      </c>
      <c r="H30" s="102" t="str">
        <f ca="1">IF(ISBLANK(INDIRECT(ADDRESS(K30*2+2,3))),"",INDIRECT(ADDRESS(K30*2+2,3)))</f>
        <v>Поляков Алексей</v>
      </c>
      <c r="I30" s="100"/>
      <c r="J30" s="100"/>
      <c r="K30" s="37">
        <v>4</v>
      </c>
      <c r="L30" s="40" t="s">
        <v>13</v>
      </c>
      <c r="M30" s="28">
        <v>1</v>
      </c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Папоян Григорий</v>
      </c>
      <c r="D31" s="100"/>
      <c r="E31" s="101"/>
      <c r="F31" s="38">
        <v>7</v>
      </c>
      <c r="G31" s="39">
        <v>13</v>
      </c>
      <c r="H31" s="102" t="str">
        <f ca="1">IF(ISBLANK(INDIRECT(ADDRESS(K31*2+2,3))),"",INDIRECT(ADDRESS(K31*2+2,3)))</f>
        <v>Вахрушев Владимир</v>
      </c>
      <c r="I31" s="100"/>
      <c r="J31" s="100"/>
      <c r="K31" s="37">
        <v>3</v>
      </c>
      <c r="L31" s="40" t="s">
        <v>13</v>
      </c>
      <c r="M31" s="28">
        <v>2</v>
      </c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Поляков Алексей</v>
      </c>
      <c r="D34" s="100"/>
      <c r="E34" s="101"/>
      <c r="F34" s="38">
        <v>13</v>
      </c>
      <c r="G34" s="39">
        <v>7</v>
      </c>
      <c r="H34" s="102" t="str">
        <f ca="1">IF(ISBLANK(INDIRECT(ADDRESS(K34*2+2,3))),"",INDIRECT(ADDRESS(K34*2+2,3)))</f>
        <v>Папоян Григорий</v>
      </c>
      <c r="I34" s="100"/>
      <c r="J34" s="100"/>
      <c r="K34" s="37">
        <v>2</v>
      </c>
      <c r="L34" s="40" t="s">
        <v>13</v>
      </c>
      <c r="M34" s="28">
        <v>3</v>
      </c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Тюнин Иван</v>
      </c>
      <c r="D35" s="100"/>
      <c r="E35" s="101"/>
      <c r="F35" s="38">
        <v>1</v>
      </c>
      <c r="G35" s="39">
        <v>13</v>
      </c>
      <c r="H35" s="102" t="str">
        <f ca="1">IF(ISBLANK(INDIRECT(ADDRESS(K35*2+2,3))),"",INDIRECT(ADDRESS(K35*2+2,3)))</f>
        <v>Воронов Олег</v>
      </c>
      <c r="I35" s="100"/>
      <c r="J35" s="100"/>
      <c r="K35" s="37">
        <v>1</v>
      </c>
      <c r="L35" s="40" t="s">
        <v>13</v>
      </c>
      <c r="M35" s="28">
        <v>4</v>
      </c>
    </row>
  </sheetData>
  <mergeCells count="47">
    <mergeCell ref="K4:K5"/>
    <mergeCell ref="M4:M5"/>
    <mergeCell ref="K6:K7"/>
    <mergeCell ref="M6:M7"/>
    <mergeCell ref="B1:K1"/>
    <mergeCell ref="C3:E3"/>
    <mergeCell ref="B4:B5"/>
    <mergeCell ref="C4:E5"/>
    <mergeCell ref="B6:B7"/>
    <mergeCell ref="C6:E7"/>
    <mergeCell ref="B8:B9"/>
    <mergeCell ref="C8:E9"/>
    <mergeCell ref="K8:K9"/>
    <mergeCell ref="M8:M9"/>
    <mergeCell ref="B10:B11"/>
    <mergeCell ref="C10:E11"/>
    <mergeCell ref="B12:B13"/>
    <mergeCell ref="C12:E13"/>
    <mergeCell ref="K10:K11"/>
    <mergeCell ref="M10:M11"/>
    <mergeCell ref="K12:K13"/>
    <mergeCell ref="M12:M13"/>
    <mergeCell ref="B17:K17"/>
    <mergeCell ref="C18:E18"/>
    <mergeCell ref="H18:J18"/>
    <mergeCell ref="C19:E19"/>
    <mergeCell ref="H19:J19"/>
    <mergeCell ref="B21:K21"/>
    <mergeCell ref="C23:E23"/>
    <mergeCell ref="H23:J23"/>
    <mergeCell ref="B25:K25"/>
    <mergeCell ref="C22:E22"/>
    <mergeCell ref="H22:J22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1:E31"/>
    <mergeCell ref="H31:J31"/>
  </mergeCells>
  <pageMargins left="0.25" right="0.25" top="0.75" bottom="0.75" header="0.3" footer="0.3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P8" sqref="P8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126" t="s">
        <v>92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45311</v>
      </c>
    </row>
    <row r="2" spans="2:13" ht="15.75" thickBot="1" x14ac:dyDescent="0.3">
      <c r="M2"/>
    </row>
    <row r="3" spans="2:13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ht="21" x14ac:dyDescent="0.25">
      <c r="B4" s="88">
        <v>1</v>
      </c>
      <c r="C4" s="127" t="s">
        <v>122</v>
      </c>
      <c r="D4" s="128"/>
      <c r="E4" s="129"/>
      <c r="F4" s="7" t="s">
        <v>5</v>
      </c>
      <c r="G4" s="8" t="str">
        <f ca="1">INDIRECT(ADDRESS(23,6))&amp;":"&amp;INDIRECT(ADDRESS(23,7))</f>
        <v>13:11</v>
      </c>
      <c r="H4" s="8" t="str">
        <f ca="1">INDIRECT(ADDRESS(26,7))&amp;":"&amp;INDIRECT(ADDRESS(26,6))</f>
        <v>10:13</v>
      </c>
      <c r="I4" s="8" t="str">
        <f ca="1">INDIRECT(ADDRESS(30,6))&amp;":"&amp;INDIRECT(ADDRESS(30,7))</f>
        <v>8:13</v>
      </c>
      <c r="J4" s="9" t="str">
        <f ca="1">INDIRECT(ADDRESS(35,7))&amp;":"&amp;INDIRECT(ADDRESS(35,6))</f>
        <v>8:13</v>
      </c>
      <c r="K4" s="99">
        <f ca="1">IF(COUNT(F5:J5)=0,"",COUNTIF(F5:J5,"&gt;0")+0.5*COUNTIF(F5:J5,0))</f>
        <v>1</v>
      </c>
      <c r="L4" s="10">
        <v>-3</v>
      </c>
      <c r="M4" s="103">
        <v>4</v>
      </c>
    </row>
    <row r="5" spans="2:13" ht="21" x14ac:dyDescent="0.25">
      <c r="B5" s="76"/>
      <c r="C5" s="66"/>
      <c r="D5" s="67"/>
      <c r="E5" s="68"/>
      <c r="F5" s="11" t="s">
        <v>5</v>
      </c>
      <c r="G5" s="12">
        <f ca="1">IF(LEN(INDIRECT(ADDRESS(ROW()-1, COLUMN())))=1,"",INDIRECT(ADDRESS(23,6))-INDIRECT(ADDRESS(23,7)))</f>
        <v>2</v>
      </c>
      <c r="H5" s="12">
        <f ca="1">IF(LEN(INDIRECT(ADDRESS(ROW()-1, COLUMN())))=1,"",INDIRECT(ADDRESS(26,7))-INDIRECT(ADDRESS(26,6)))</f>
        <v>-3</v>
      </c>
      <c r="I5" s="12">
        <f ca="1">IF(LEN(INDIRECT(ADDRESS(ROW()-1, COLUMN())))=1,"",INDIRECT(ADDRESS(30,6))-INDIRECT(ADDRESS(30,7)))</f>
        <v>-5</v>
      </c>
      <c r="J5" s="13">
        <f ca="1">IF(LEN(INDIRECT(ADDRESS(ROW()-1, COLUMN())))=1,"",INDIRECT(ADDRESS(35,7))-INDIRECT(ADDRESS(35,6)))</f>
        <v>-5</v>
      </c>
      <c r="K5" s="93"/>
      <c r="L5" s="12">
        <f ca="1">IF(COUNT(F5:J5)=0,"",SUM(F5:J5))</f>
        <v>-11</v>
      </c>
      <c r="M5" s="94"/>
    </row>
    <row r="6" spans="2:13" ht="21" x14ac:dyDescent="0.25">
      <c r="B6" s="64">
        <v>2</v>
      </c>
      <c r="C6" s="66" t="s">
        <v>123</v>
      </c>
      <c r="D6" s="67"/>
      <c r="E6" s="68"/>
      <c r="F6" s="14" t="str">
        <f ca="1">INDIRECT(ADDRESS(23,7))&amp;":"&amp;INDIRECT(ADDRESS(23,6))</f>
        <v>11:13</v>
      </c>
      <c r="G6" s="15" t="s">
        <v>5</v>
      </c>
      <c r="H6" s="16" t="str">
        <f ca="1">INDIRECT(ADDRESS(31,6))&amp;":"&amp;INDIRECT(ADDRESS(31,7))</f>
        <v>2:13</v>
      </c>
      <c r="I6" s="16" t="str">
        <f ca="1">INDIRECT(ADDRESS(34,7))&amp;":"&amp;INDIRECT(ADDRESS(34,6))</f>
        <v>5:13</v>
      </c>
      <c r="J6" s="17" t="str">
        <f ca="1">INDIRECT(ADDRESS(18,6))&amp;":"&amp;INDIRECT(ADDRESS(18,7))</f>
        <v>13:1</v>
      </c>
      <c r="K6" s="93">
        <f ca="1">IF(COUNT(F7:J7)=0,"",COUNTIF(F7:J7,"&gt;0")+0.5*COUNTIF(F7:J7,0))</f>
        <v>1</v>
      </c>
      <c r="L6" s="12">
        <v>10</v>
      </c>
      <c r="M6" s="94">
        <v>3</v>
      </c>
    </row>
    <row r="7" spans="2:13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-2</v>
      </c>
      <c r="G7" s="19" t="s">
        <v>5</v>
      </c>
      <c r="H7" s="12">
        <f ca="1">IF(LEN(INDIRECT(ADDRESS(ROW()-1, COLUMN())))=1,"",INDIRECT(ADDRESS(31,6))-INDIRECT(ADDRESS(31,7)))</f>
        <v>-11</v>
      </c>
      <c r="I7" s="12">
        <f ca="1">IF(LEN(INDIRECT(ADDRESS(ROW()-1, COLUMN())))=1,"",INDIRECT(ADDRESS(34,7))-INDIRECT(ADDRESS(34,6)))</f>
        <v>-8</v>
      </c>
      <c r="J7" s="13">
        <f ca="1">IF(LEN(INDIRECT(ADDRESS(ROW()-1, COLUMN())))=1,"",INDIRECT(ADDRESS(18,6))-INDIRECT(ADDRESS(18,7)))</f>
        <v>12</v>
      </c>
      <c r="K7" s="93"/>
      <c r="L7" s="12">
        <f ca="1">IF(COUNT(F7:J7)=0,"",SUM(F7:J7))</f>
        <v>-9</v>
      </c>
      <c r="M7" s="94"/>
    </row>
    <row r="8" spans="2:13" ht="21" x14ac:dyDescent="0.25">
      <c r="B8" s="64">
        <v>3</v>
      </c>
      <c r="C8" s="78" t="s">
        <v>124</v>
      </c>
      <c r="D8" s="79"/>
      <c r="E8" s="80"/>
      <c r="F8" s="14" t="str">
        <f ca="1">INDIRECT(ADDRESS(26,6))&amp;":"&amp;INDIRECT(ADDRESS(26,7))</f>
        <v>13:10</v>
      </c>
      <c r="G8" s="16" t="str">
        <f ca="1">INDIRECT(ADDRESS(31,7))&amp;":"&amp;INDIRECT(ADDRESS(31,6))</f>
        <v>13:2</v>
      </c>
      <c r="H8" s="15" t="s">
        <v>5</v>
      </c>
      <c r="I8" s="16" t="str">
        <f ca="1">INDIRECT(ADDRESS(19,6))&amp;":"&amp;INDIRECT(ADDRESS(19,7))</f>
        <v>13:8</v>
      </c>
      <c r="J8" s="17" t="str">
        <f ca="1">INDIRECT(ADDRESS(22,7))&amp;":"&amp;INDIRECT(ADDRESS(22,6))</f>
        <v>13:4</v>
      </c>
      <c r="K8" s="93">
        <f ca="1">IF(COUNT(F9:J9)=0,"",COUNTIF(F9:J9,"&gt;0")+0.5*COUNTIF(F9:J9,0))</f>
        <v>4</v>
      </c>
      <c r="L8" s="12"/>
      <c r="M8" s="94">
        <v>1</v>
      </c>
    </row>
    <row r="9" spans="2:13" ht="21" x14ac:dyDescent="0.25">
      <c r="B9" s="76"/>
      <c r="C9" s="78"/>
      <c r="D9" s="79"/>
      <c r="E9" s="80"/>
      <c r="F9" s="18">
        <f ca="1">IF(LEN(INDIRECT(ADDRESS(ROW()-1, COLUMN())))=1,"",INDIRECT(ADDRESS(26,6))-INDIRECT(ADDRESS(26,7)))</f>
        <v>3</v>
      </c>
      <c r="G9" s="12">
        <f ca="1">IF(LEN(INDIRECT(ADDRESS(ROW()-1, COLUMN())))=1,"",INDIRECT(ADDRESS(31,7))-INDIRECT(ADDRESS(31,6)))</f>
        <v>11</v>
      </c>
      <c r="H9" s="19" t="s">
        <v>5</v>
      </c>
      <c r="I9" s="12">
        <f ca="1">IF(LEN(INDIRECT(ADDRESS(ROW()-1, COLUMN())))=1,"",INDIRECT(ADDRESS(19,6))-INDIRECT(ADDRESS(19,7)))</f>
        <v>5</v>
      </c>
      <c r="J9" s="13">
        <f ca="1">IF(LEN(INDIRECT(ADDRESS(ROW()-1, COLUMN())))=1,"",INDIRECT(ADDRESS(22,7))-INDIRECT(ADDRESS(22,6)))</f>
        <v>9</v>
      </c>
      <c r="K9" s="93"/>
      <c r="L9" s="12">
        <f ca="1">IF(COUNT(F9:J9)=0,"",SUM(F9:J9))</f>
        <v>28</v>
      </c>
      <c r="M9" s="94"/>
    </row>
    <row r="10" spans="2:13" ht="21" x14ac:dyDescent="0.25">
      <c r="B10" s="64">
        <v>4</v>
      </c>
      <c r="C10" s="78" t="s">
        <v>125</v>
      </c>
      <c r="D10" s="79"/>
      <c r="E10" s="80"/>
      <c r="F10" s="14" t="str">
        <f ca="1">INDIRECT(ADDRESS(30,7))&amp;":"&amp;INDIRECT(ADDRESS(30,6))</f>
        <v>13:8</v>
      </c>
      <c r="G10" s="16" t="str">
        <f ca="1">INDIRECT(ADDRESS(34,6))&amp;":"&amp;INDIRECT(ADDRESS(34,7))</f>
        <v>13:5</v>
      </c>
      <c r="H10" s="16" t="str">
        <f ca="1">INDIRECT(ADDRESS(19,7))&amp;":"&amp;INDIRECT(ADDRESS(19,6))</f>
        <v>8:13</v>
      </c>
      <c r="I10" s="15" t="s">
        <v>5</v>
      </c>
      <c r="J10" s="17" t="str">
        <f ca="1">INDIRECT(ADDRESS(27,6))&amp;":"&amp;INDIRECT(ADDRESS(27,7))</f>
        <v>13:5</v>
      </c>
      <c r="K10" s="93">
        <f ca="1">IF(COUNT(F11:J11)=0,"",COUNTIF(F11:J11,"&gt;0")+0.5*COUNTIF(F11:J11,0))</f>
        <v>3</v>
      </c>
      <c r="L10" s="12"/>
      <c r="M10" s="94">
        <v>2</v>
      </c>
    </row>
    <row r="11" spans="2:13" ht="21" x14ac:dyDescent="0.25">
      <c r="B11" s="76"/>
      <c r="C11" s="78"/>
      <c r="D11" s="79"/>
      <c r="E11" s="80"/>
      <c r="F11" s="18">
        <f ca="1">IF(LEN(INDIRECT(ADDRESS(ROW()-1, COLUMN())))=1,"",INDIRECT(ADDRESS(30,7))-INDIRECT(ADDRESS(30,6)))</f>
        <v>5</v>
      </c>
      <c r="G11" s="12">
        <f ca="1">IF(LEN(INDIRECT(ADDRESS(ROW()-1, COLUMN())))=1,"",INDIRECT(ADDRESS(34,6))-INDIRECT(ADDRESS(34,7)))</f>
        <v>8</v>
      </c>
      <c r="H11" s="12">
        <f ca="1">IF(LEN(INDIRECT(ADDRESS(ROW()-1, COLUMN())))=1,"",INDIRECT(ADDRESS(19,7))-INDIRECT(ADDRESS(19,6)))</f>
        <v>-5</v>
      </c>
      <c r="I11" s="19" t="s">
        <v>5</v>
      </c>
      <c r="J11" s="13">
        <f ca="1">IF(LEN(INDIRECT(ADDRESS(ROW()-1, COLUMN())))=1,"",INDIRECT(ADDRESS(27,6))-INDIRECT(ADDRESS(27,7)))</f>
        <v>8</v>
      </c>
      <c r="K11" s="93"/>
      <c r="L11" s="12">
        <f ca="1">IF(COUNT(F11:J11)=0,"",SUM(F11:J11))</f>
        <v>16</v>
      </c>
      <c r="M11" s="94"/>
    </row>
    <row r="12" spans="2:13" ht="21" x14ac:dyDescent="0.25">
      <c r="B12" s="64">
        <v>5</v>
      </c>
      <c r="C12" s="66" t="s">
        <v>126</v>
      </c>
      <c r="D12" s="67"/>
      <c r="E12" s="68"/>
      <c r="F12" s="14" t="str">
        <f ca="1">INDIRECT(ADDRESS(35,6))&amp;":"&amp;INDIRECT(ADDRESS(35,7))</f>
        <v>13:8</v>
      </c>
      <c r="G12" s="16" t="str">
        <f ca="1">INDIRECT(ADDRESS(18,7))&amp;":"&amp;INDIRECT(ADDRESS(18,6))</f>
        <v>1:13</v>
      </c>
      <c r="H12" s="16" t="str">
        <f ca="1">INDIRECT(ADDRESS(22,6))&amp;":"&amp;INDIRECT(ADDRESS(22,7))</f>
        <v>4:13</v>
      </c>
      <c r="I12" s="16" t="str">
        <f ca="1">INDIRECT(ADDRESS(27,7))&amp;":"&amp;INDIRECT(ADDRESS(27,6))</f>
        <v>5:13</v>
      </c>
      <c r="J12" s="20" t="s">
        <v>5</v>
      </c>
      <c r="K12" s="93">
        <f ca="1">IF(COUNT(F13:J13)=0,"",COUNTIF(F13:J13,"&gt;0")+0.5*COUNTIF(F13:J13,0))</f>
        <v>1</v>
      </c>
      <c r="L12" s="12">
        <v>-7</v>
      </c>
      <c r="M12" s="94">
        <v>5</v>
      </c>
    </row>
    <row r="13" spans="2:13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5</v>
      </c>
      <c r="G13" s="22">
        <f ca="1">IF(LEN(INDIRECT(ADDRESS(ROW()-1, COLUMN())))=1,"",INDIRECT(ADDRESS(18,7))-INDIRECT(ADDRESS(18,6)))</f>
        <v>-12</v>
      </c>
      <c r="H13" s="22">
        <f ca="1">IF(LEN(INDIRECT(ADDRESS(ROW()-1, COLUMN())))=1,"",INDIRECT(ADDRESS(22,6))-INDIRECT(ADDRESS(22,7)))</f>
        <v>-9</v>
      </c>
      <c r="I13" s="22">
        <f ca="1">IF(LEN(INDIRECT(ADDRESS(ROW()-1, COLUMN())))=1,"",INDIRECT(ADDRESS(27,7))-INDIRECT(ADDRESS(27,6)))</f>
        <v>-8</v>
      </c>
      <c r="J13" s="23" t="s">
        <v>5</v>
      </c>
      <c r="K13" s="95"/>
      <c r="L13" s="22">
        <f ca="1">IF(COUNT(F13:J13)=0,"",SUM(F13:J13))</f>
        <v>-24</v>
      </c>
      <c r="M13" s="96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Гаджиев Сеявуш</v>
      </c>
      <c r="D18" s="100"/>
      <c r="E18" s="101"/>
      <c r="F18" s="38">
        <v>13</v>
      </c>
      <c r="G18" s="39">
        <v>1</v>
      </c>
      <c r="H18" s="102" t="str">
        <f ca="1">IF(ISBLANK(INDIRECT(ADDRESS(K18*2+2,3))),"",INDIRECT(ADDRESS(K18*2+2,3)))</f>
        <v>Кравцов Владимир</v>
      </c>
      <c r="I18" s="100"/>
      <c r="J18" s="100"/>
      <c r="K18" s="37">
        <v>5</v>
      </c>
      <c r="L18" s="40" t="s">
        <v>13</v>
      </c>
      <c r="M18" s="28">
        <v>5</v>
      </c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Жака</v>
      </c>
      <c r="D19" s="100"/>
      <c r="E19" s="101"/>
      <c r="F19" s="38">
        <v>13</v>
      </c>
      <c r="G19" s="39">
        <v>8</v>
      </c>
      <c r="H19" s="102" t="str">
        <f ca="1">IF(ISBLANK(INDIRECT(ADDRESS(K19*2+2,3))),"",INDIRECT(ADDRESS(K19*2+2,3)))</f>
        <v>Шапкин Константин</v>
      </c>
      <c r="I19" s="100"/>
      <c r="J19" s="100"/>
      <c r="K19" s="37">
        <v>4</v>
      </c>
      <c r="L19" s="40" t="s">
        <v>13</v>
      </c>
      <c r="M19" s="28">
        <v>6</v>
      </c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Кравцов Владимир</v>
      </c>
      <c r="D22" s="100"/>
      <c r="E22" s="101"/>
      <c r="F22" s="38">
        <v>4</v>
      </c>
      <c r="G22" s="39">
        <v>13</v>
      </c>
      <c r="H22" s="102" t="str">
        <f ca="1">IF(ISBLANK(INDIRECT(ADDRESS(K22*2+2,3))),"",INDIRECT(ADDRESS(K22*2+2,3)))</f>
        <v>Жака</v>
      </c>
      <c r="I22" s="100"/>
      <c r="J22" s="100"/>
      <c r="K22" s="37">
        <v>3</v>
      </c>
      <c r="L22" s="40" t="s">
        <v>13</v>
      </c>
      <c r="M22" s="28">
        <v>7</v>
      </c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Денисов Евгений</v>
      </c>
      <c r="D23" s="100"/>
      <c r="E23" s="101"/>
      <c r="F23" s="38">
        <v>13</v>
      </c>
      <c r="G23" s="39">
        <v>11</v>
      </c>
      <c r="H23" s="102" t="str">
        <f ca="1">IF(ISBLANK(INDIRECT(ADDRESS(K23*2+2,3))),"",INDIRECT(ADDRESS(K23*2+2,3)))</f>
        <v>Гаджиев Сеявуш</v>
      </c>
      <c r="I23" s="100"/>
      <c r="J23" s="100"/>
      <c r="K23" s="37">
        <v>2</v>
      </c>
      <c r="L23" s="40" t="s">
        <v>13</v>
      </c>
      <c r="M23" s="28">
        <v>8</v>
      </c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Жака</v>
      </c>
      <c r="D26" s="100"/>
      <c r="E26" s="101"/>
      <c r="F26" s="38">
        <v>13</v>
      </c>
      <c r="G26" s="39">
        <v>10</v>
      </c>
      <c r="H26" s="102" t="str">
        <f ca="1">IF(ISBLANK(INDIRECT(ADDRESS(K26*2+2,3))),"",INDIRECT(ADDRESS(K26*2+2,3)))</f>
        <v>Денисов Евгений</v>
      </c>
      <c r="I26" s="100"/>
      <c r="J26" s="100"/>
      <c r="K26" s="37">
        <v>1</v>
      </c>
      <c r="L26" s="40" t="s">
        <v>13</v>
      </c>
      <c r="M26" s="28">
        <v>1</v>
      </c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Шапкин Константин</v>
      </c>
      <c r="D27" s="100"/>
      <c r="E27" s="101"/>
      <c r="F27" s="38">
        <v>13</v>
      </c>
      <c r="G27" s="39">
        <v>5</v>
      </c>
      <c r="H27" s="102" t="str">
        <f ca="1">IF(ISBLANK(INDIRECT(ADDRESS(K27*2+2,3))),"",INDIRECT(ADDRESS(K27*2+2,3)))</f>
        <v>Кравцов Владимир</v>
      </c>
      <c r="I27" s="100"/>
      <c r="J27" s="100"/>
      <c r="K27" s="37">
        <v>5</v>
      </c>
      <c r="L27" s="40" t="s">
        <v>13</v>
      </c>
      <c r="M27" s="28">
        <v>2</v>
      </c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Денисов Евгений</v>
      </c>
      <c r="D30" s="100"/>
      <c r="E30" s="101"/>
      <c r="F30" s="38">
        <v>8</v>
      </c>
      <c r="G30" s="39">
        <v>13</v>
      </c>
      <c r="H30" s="102" t="str">
        <f ca="1">IF(ISBLANK(INDIRECT(ADDRESS(K30*2+2,3))),"",INDIRECT(ADDRESS(K30*2+2,3)))</f>
        <v>Шапкин Константин</v>
      </c>
      <c r="I30" s="100"/>
      <c r="J30" s="100"/>
      <c r="K30" s="37">
        <v>4</v>
      </c>
      <c r="L30" s="40" t="s">
        <v>13</v>
      </c>
      <c r="M30" s="28">
        <v>3</v>
      </c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Гаджиев Сеявуш</v>
      </c>
      <c r="D31" s="100"/>
      <c r="E31" s="101"/>
      <c r="F31" s="38">
        <v>2</v>
      </c>
      <c r="G31" s="39">
        <v>13</v>
      </c>
      <c r="H31" s="102" t="str">
        <f ca="1">IF(ISBLANK(INDIRECT(ADDRESS(K31*2+2,3))),"",INDIRECT(ADDRESS(K31*2+2,3)))</f>
        <v>Жака</v>
      </c>
      <c r="I31" s="100"/>
      <c r="J31" s="100"/>
      <c r="K31" s="37">
        <v>3</v>
      </c>
      <c r="L31" s="40" t="s">
        <v>13</v>
      </c>
      <c r="M31" s="28">
        <v>4</v>
      </c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Шапкин Константин</v>
      </c>
      <c r="D34" s="100"/>
      <c r="E34" s="101"/>
      <c r="F34" s="38">
        <v>13</v>
      </c>
      <c r="G34" s="39">
        <v>5</v>
      </c>
      <c r="H34" s="102" t="str">
        <f ca="1">IF(ISBLANK(INDIRECT(ADDRESS(K34*2+2,3))),"",INDIRECT(ADDRESS(K34*2+2,3)))</f>
        <v>Гаджиев Сеявуш</v>
      </c>
      <c r="I34" s="100"/>
      <c r="J34" s="100"/>
      <c r="K34" s="37">
        <v>2</v>
      </c>
      <c r="L34" s="40" t="s">
        <v>13</v>
      </c>
      <c r="M34" s="28">
        <v>5</v>
      </c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Кравцов Владимир</v>
      </c>
      <c r="D35" s="100"/>
      <c r="E35" s="101"/>
      <c r="F35" s="38">
        <v>13</v>
      </c>
      <c r="G35" s="39">
        <v>8</v>
      </c>
      <c r="H35" s="102" t="str">
        <f ca="1">IF(ISBLANK(INDIRECT(ADDRESS(K35*2+2,3))),"",INDIRECT(ADDRESS(K35*2+2,3)))</f>
        <v>Денисов Евгений</v>
      </c>
      <c r="I35" s="100"/>
      <c r="J35" s="100"/>
      <c r="K35" s="37">
        <v>1</v>
      </c>
      <c r="L35" s="40" t="s">
        <v>13</v>
      </c>
      <c r="M35" s="28">
        <v>6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P8" sqref="P8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126" t="s">
        <v>87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45312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89" t="s">
        <v>146</v>
      </c>
      <c r="D4" s="90"/>
      <c r="E4" s="91"/>
      <c r="F4" s="7" t="s">
        <v>5</v>
      </c>
      <c r="G4" s="8" t="str">
        <f ca="1">INDIRECT(ADDRESS(27,6))&amp;":"&amp;INDIRECT(ADDRESS(27,7))</f>
        <v>13:11</v>
      </c>
      <c r="H4" s="8" t="str">
        <f ca="1">INDIRECT(ADDRESS(31,7))&amp;":"&amp;INDIRECT(ADDRESS(31,6))</f>
        <v>13:9</v>
      </c>
      <c r="I4" s="8" t="str">
        <f ca="1">INDIRECT(ADDRESS(36,6))&amp;":"&amp;INDIRECT(ADDRESS(36,7))</f>
        <v>13:2</v>
      </c>
      <c r="J4" s="8" t="str">
        <f ca="1">INDIRECT(ADDRESS(42,7))&amp;":"&amp;INDIRECT(ADDRESS(42,6))</f>
        <v>13:4</v>
      </c>
      <c r="K4" s="9" t="str">
        <f ca="1">INDIRECT(ADDRESS(20,6))&amp;":"&amp;INDIRECT(ADDRESS(20,7))</f>
        <v>13:5</v>
      </c>
      <c r="L4" s="92">
        <f ca="1">IF(COUNT(F5:K5)=0,"",COUNTIF(F5:K5,"&gt;0")+0.5*COUNTIF(F5:K5,0))</f>
        <v>5</v>
      </c>
      <c r="M4" s="10"/>
      <c r="N4" s="121">
        <v>1</v>
      </c>
    </row>
    <row r="5" spans="2:14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2</v>
      </c>
      <c r="H5" s="12">
        <f ca="1">IF(LEN(INDIRECT(ADDRESS(ROW()-1, COLUMN())))=1,"",INDIRECT(ADDRESS(31,7))-INDIRECT(ADDRESS(31,6)))</f>
        <v>4</v>
      </c>
      <c r="I5" s="12">
        <f ca="1">IF(LEN(INDIRECT(ADDRESS(ROW()-1, COLUMN())))=1,"",INDIRECT(ADDRESS(36,6))-INDIRECT(ADDRESS(36,7)))</f>
        <v>11</v>
      </c>
      <c r="J5" s="12">
        <f ca="1">IF(LEN(INDIRECT(ADDRESS(ROW()-1, COLUMN())))=1,"",INDIRECT(ADDRESS(42,7))-INDIRECT(ADDRESS(42,6)))</f>
        <v>9</v>
      </c>
      <c r="K5" s="13">
        <f ca="1">IF(LEN(INDIRECT(ADDRESS(ROW()-1, COLUMN())))=1,"",INDIRECT(ADDRESS(20,6))-INDIRECT(ADDRESS(20,7)))</f>
        <v>8</v>
      </c>
      <c r="L5" s="72"/>
      <c r="M5" s="12">
        <f ca="1">IF(COUNT(F5:K5)=0,"",SUM(F5:K5))</f>
        <v>34</v>
      </c>
      <c r="N5" s="77"/>
    </row>
    <row r="6" spans="2:14" ht="24" customHeight="1" x14ac:dyDescent="0.25">
      <c r="B6" s="64">
        <v>2</v>
      </c>
      <c r="C6" s="66" t="s">
        <v>147</v>
      </c>
      <c r="D6" s="67"/>
      <c r="E6" s="68"/>
      <c r="F6" s="14" t="str">
        <f ca="1">INDIRECT(ADDRESS(27,7))&amp;":"&amp;INDIRECT(ADDRESS(27,6))</f>
        <v>11:13</v>
      </c>
      <c r="G6" s="15" t="s">
        <v>5</v>
      </c>
      <c r="H6" s="16" t="str">
        <f ca="1">INDIRECT(ADDRESS(37,6))&amp;":"&amp;INDIRECT(ADDRESS(37,7))</f>
        <v>9:13</v>
      </c>
      <c r="I6" s="16" t="str">
        <f ca="1">INDIRECT(ADDRESS(41,7))&amp;":"&amp;INDIRECT(ADDRESS(41,6))</f>
        <v>11:12</v>
      </c>
      <c r="J6" s="16" t="str">
        <f ca="1">INDIRECT(ADDRESS(21,6))&amp;":"&amp;INDIRECT(ADDRESS(21,7))</f>
        <v>13:6</v>
      </c>
      <c r="K6" s="17" t="str">
        <f ca="1">INDIRECT(ADDRESS(30,6))&amp;":"&amp;INDIRECT(ADDRESS(30,7))</f>
        <v>8:13</v>
      </c>
      <c r="L6" s="72">
        <f ca="1">IF(COUNT(F7:K7)=0,"",COUNTIF(F7:K7,"&gt;0")+0.5*COUNTIF(F7:K7,0))</f>
        <v>1</v>
      </c>
      <c r="M6" s="12"/>
      <c r="N6" s="74">
        <v>5</v>
      </c>
    </row>
    <row r="7" spans="2:14" ht="24" customHeight="1" x14ac:dyDescent="0.25">
      <c r="B7" s="76"/>
      <c r="C7" s="66"/>
      <c r="D7" s="67"/>
      <c r="E7" s="68"/>
      <c r="F7" s="18">
        <f ca="1">IF(LEN(INDIRECT(ADDRESS(ROW()-1, COLUMN())))=1,"",INDIRECT(ADDRESS(27,7))-INDIRECT(ADDRESS(27,6)))</f>
        <v>-2</v>
      </c>
      <c r="G7" s="19" t="s">
        <v>5</v>
      </c>
      <c r="H7" s="12">
        <f ca="1">IF(LEN(INDIRECT(ADDRESS(ROW()-1, COLUMN())))=1,"",INDIRECT(ADDRESS(37,6))-INDIRECT(ADDRESS(37,7)))</f>
        <v>-4</v>
      </c>
      <c r="I7" s="12">
        <f ca="1">IF(LEN(INDIRECT(ADDRESS(ROW()-1, COLUMN())))=1,"",INDIRECT(ADDRESS(41,7))-INDIRECT(ADDRESS(41,6)))</f>
        <v>-1</v>
      </c>
      <c r="J7" s="12">
        <f ca="1">IF(LEN(INDIRECT(ADDRESS(ROW()-1, COLUMN())))=1,"",INDIRECT(ADDRESS(21,6))-INDIRECT(ADDRESS(21,7)))</f>
        <v>7</v>
      </c>
      <c r="K7" s="13">
        <f ca="1">IF(LEN(INDIRECT(ADDRESS(ROW()-1, COLUMN())))=1,"",INDIRECT(ADDRESS(30,6))-INDIRECT(ADDRESS(30,7)))</f>
        <v>-5</v>
      </c>
      <c r="L7" s="72"/>
      <c r="M7" s="12">
        <f ca="1">IF(COUNT(F7:K7)=0,"",SUM(F7:K7))</f>
        <v>-5</v>
      </c>
      <c r="N7" s="77"/>
    </row>
    <row r="8" spans="2:14" ht="24" customHeight="1" x14ac:dyDescent="0.25">
      <c r="B8" s="64">
        <v>3</v>
      </c>
      <c r="C8" s="78" t="s">
        <v>148</v>
      </c>
      <c r="D8" s="79"/>
      <c r="E8" s="80"/>
      <c r="F8" s="14" t="str">
        <f ca="1">INDIRECT(ADDRESS(31,6))&amp;":"&amp;INDIRECT(ADDRESS(31,7))</f>
        <v>9:13</v>
      </c>
      <c r="G8" s="16" t="str">
        <f ca="1">INDIRECT(ADDRESS(37,7))&amp;":"&amp;INDIRECT(ADDRESS(37,6))</f>
        <v>13:9</v>
      </c>
      <c r="H8" s="15" t="s">
        <v>5</v>
      </c>
      <c r="I8" s="16" t="str">
        <f ca="1">INDIRECT(ADDRESS(22,6))&amp;":"&amp;INDIRECT(ADDRESS(22,7))</f>
        <v>8:13</v>
      </c>
      <c r="J8" s="16" t="str">
        <f ca="1">INDIRECT(ADDRESS(26,7))&amp;":"&amp;INDIRECT(ADDRESS(26,6))</f>
        <v>13:4</v>
      </c>
      <c r="K8" s="17" t="str">
        <f ca="1">INDIRECT(ADDRESS(40,6))&amp;":"&amp;INDIRECT(ADDRESS(40,7))</f>
        <v>13:8</v>
      </c>
      <c r="L8" s="72">
        <f ca="1">IF(COUNT(F9:K9)=0,"",COUNTIF(F9:K9,"&gt;0")+0.5*COUNTIF(F9:K9,0))</f>
        <v>3</v>
      </c>
      <c r="M8" s="12"/>
      <c r="N8" s="74">
        <v>3</v>
      </c>
    </row>
    <row r="9" spans="2:14" ht="24" customHeight="1" x14ac:dyDescent="0.25">
      <c r="B9" s="76"/>
      <c r="C9" s="78"/>
      <c r="D9" s="79"/>
      <c r="E9" s="80"/>
      <c r="F9" s="18">
        <f ca="1">IF(LEN(INDIRECT(ADDRESS(ROW()-1, COLUMN())))=1,"",INDIRECT(ADDRESS(31,6))-INDIRECT(ADDRESS(31,7)))</f>
        <v>-4</v>
      </c>
      <c r="G9" s="12">
        <f ca="1">IF(LEN(INDIRECT(ADDRESS(ROW()-1, COLUMN())))=1,"",INDIRECT(ADDRESS(37,7))-INDIRECT(ADDRESS(37,6)))</f>
        <v>4</v>
      </c>
      <c r="H9" s="19" t="s">
        <v>5</v>
      </c>
      <c r="I9" s="12">
        <f ca="1">IF(LEN(INDIRECT(ADDRESS(ROW()-1, COLUMN())))=1,"",INDIRECT(ADDRESS(22,6))-INDIRECT(ADDRESS(22,7)))</f>
        <v>-5</v>
      </c>
      <c r="J9" s="12">
        <f ca="1">IF(LEN(INDIRECT(ADDRESS(ROW()-1, COLUMN())))=1,"",INDIRECT(ADDRESS(26,7))-INDIRECT(ADDRESS(26,6)))</f>
        <v>9</v>
      </c>
      <c r="K9" s="13">
        <f ca="1">IF(LEN(INDIRECT(ADDRESS(ROW()-1, COLUMN())))=1,"",INDIRECT(ADDRESS(40,6))-INDIRECT(ADDRESS(40,7)))</f>
        <v>5</v>
      </c>
      <c r="L9" s="72"/>
      <c r="M9" s="12">
        <f ca="1">IF(COUNT(F9:K9)=0,"",SUM(F9:K9))</f>
        <v>9</v>
      </c>
      <c r="N9" s="77"/>
    </row>
    <row r="10" spans="2:14" ht="24" customHeight="1" x14ac:dyDescent="0.25">
      <c r="B10" s="64">
        <v>4</v>
      </c>
      <c r="C10" s="78" t="s">
        <v>149</v>
      </c>
      <c r="D10" s="79"/>
      <c r="E10" s="80"/>
      <c r="F10" s="14" t="str">
        <f ca="1">INDIRECT(ADDRESS(36,7))&amp;":"&amp;INDIRECT(ADDRESS(36,6))</f>
        <v>2:13</v>
      </c>
      <c r="G10" s="16" t="str">
        <f ca="1">INDIRECT(ADDRESS(41,6))&amp;":"&amp;INDIRECT(ADDRESS(41,7))</f>
        <v>12:11</v>
      </c>
      <c r="H10" s="16" t="str">
        <f ca="1">INDIRECT(ADDRESS(22,7))&amp;":"&amp;INDIRECT(ADDRESS(22,6))</f>
        <v>13:8</v>
      </c>
      <c r="I10" s="15" t="s">
        <v>5</v>
      </c>
      <c r="J10" s="16" t="str">
        <f ca="1">INDIRECT(ADDRESS(32,6))&amp;":"&amp;INDIRECT(ADDRESS(32,7))</f>
        <v>8:13</v>
      </c>
      <c r="K10" s="17" t="str">
        <f ca="1">INDIRECT(ADDRESS(25,7))&amp;":"&amp;INDIRECT(ADDRESS(25,6))</f>
        <v>13:8</v>
      </c>
      <c r="L10" s="72">
        <f ca="1">IF(COUNT(F11:K11)=0,"",COUNTIF(F11:K11,"&gt;0")+0.5*COUNTIF(F11:K11,0))</f>
        <v>3</v>
      </c>
      <c r="M10" s="12"/>
      <c r="N10" s="74">
        <v>2</v>
      </c>
    </row>
    <row r="11" spans="2:14" ht="24" customHeight="1" x14ac:dyDescent="0.25">
      <c r="B11" s="76"/>
      <c r="C11" s="78"/>
      <c r="D11" s="79"/>
      <c r="E11" s="80"/>
      <c r="F11" s="18">
        <f ca="1">IF(LEN(INDIRECT(ADDRESS(ROW()-1, COLUMN())))=1,"",INDIRECT(ADDRESS(36,7))-INDIRECT(ADDRESS(36,6)))</f>
        <v>-11</v>
      </c>
      <c r="G11" s="12">
        <f ca="1">IF(LEN(INDIRECT(ADDRESS(ROW()-1, COLUMN())))=1,"",INDIRECT(ADDRESS(41,6))-INDIRECT(ADDRESS(41,7)))</f>
        <v>1</v>
      </c>
      <c r="H11" s="12">
        <f ca="1">IF(LEN(INDIRECT(ADDRESS(ROW()-1, COLUMN())))=1,"",INDIRECT(ADDRESS(22,7))-INDIRECT(ADDRESS(22,6)))</f>
        <v>5</v>
      </c>
      <c r="I11" s="19" t="s">
        <v>5</v>
      </c>
      <c r="J11" s="12">
        <f ca="1">IF(LEN(INDIRECT(ADDRESS(ROW()-1, COLUMN())))=1,"",INDIRECT(ADDRESS(32,6))-INDIRECT(ADDRESS(32,7)))</f>
        <v>-5</v>
      </c>
      <c r="K11" s="13">
        <f ca="1">IF(LEN(INDIRECT(ADDRESS(ROW()-1, COLUMN())))=1,"",INDIRECT(ADDRESS(25,7))-INDIRECT(ADDRESS(25,6)))</f>
        <v>5</v>
      </c>
      <c r="L11" s="72"/>
      <c r="M11" s="12">
        <f ca="1">IF(COUNT(F11:K11)=0,"",SUM(F11:K11))</f>
        <v>-5</v>
      </c>
      <c r="N11" s="77"/>
    </row>
    <row r="12" spans="2:14" ht="24" customHeight="1" x14ac:dyDescent="0.25">
      <c r="B12" s="64">
        <v>5</v>
      </c>
      <c r="C12" s="66" t="s">
        <v>150</v>
      </c>
      <c r="D12" s="67"/>
      <c r="E12" s="68"/>
      <c r="F12" s="14" t="str">
        <f ca="1">INDIRECT(ADDRESS(42,6))&amp;":"&amp;INDIRECT(ADDRESS(42,7))</f>
        <v>4:13</v>
      </c>
      <c r="G12" s="16" t="str">
        <f ca="1">INDIRECT(ADDRESS(21,7))&amp;":"&amp;INDIRECT(ADDRESS(21,6))</f>
        <v>6:13</v>
      </c>
      <c r="H12" s="16" t="str">
        <f ca="1">INDIRECT(ADDRESS(26,6))&amp;":"&amp;INDIRECT(ADDRESS(26,7))</f>
        <v>4:13</v>
      </c>
      <c r="I12" s="16" t="str">
        <f ca="1">INDIRECT(ADDRESS(32,7))&amp;":"&amp;INDIRECT(ADDRESS(32,6))</f>
        <v>13:8</v>
      </c>
      <c r="J12" s="15" t="s">
        <v>5</v>
      </c>
      <c r="K12" s="17" t="str">
        <f ca="1">INDIRECT(ADDRESS(35,7))&amp;":"&amp;INDIRECT(ADDRESS(35,6))</f>
        <v>11:13</v>
      </c>
      <c r="L12" s="72">
        <f ca="1">IF(COUNT(F13:K13)=0,"",COUNTIF(F13:K13,"&gt;0")+0.5*COUNTIF(F13:K13,0))</f>
        <v>1</v>
      </c>
      <c r="M12" s="12"/>
      <c r="N12" s="74">
        <v>6</v>
      </c>
    </row>
    <row r="13" spans="2:14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-9</v>
      </c>
      <c r="G13" s="12">
        <f ca="1">IF(LEN(INDIRECT(ADDRESS(ROW()-1, COLUMN())))=1,"",INDIRECT(ADDRESS(21,7))-INDIRECT(ADDRESS(21,6)))</f>
        <v>-7</v>
      </c>
      <c r="H13" s="12">
        <f ca="1">IF(LEN(INDIRECT(ADDRESS(ROW()-1, COLUMN())))=1,"",INDIRECT(ADDRESS(26,6))-INDIRECT(ADDRESS(26,7)))</f>
        <v>-9</v>
      </c>
      <c r="I13" s="12">
        <f ca="1">IF(LEN(INDIRECT(ADDRESS(ROW()-1, COLUMN())))=1,"",INDIRECT(ADDRESS(32,7))-INDIRECT(ADDRESS(32,6)))</f>
        <v>5</v>
      </c>
      <c r="J13" s="19" t="s">
        <v>5</v>
      </c>
      <c r="K13" s="13">
        <f ca="1">IF(LEN(INDIRECT(ADDRESS(ROW()-1, COLUMN())))=1,"",INDIRECT(ADDRESS(35,7))-INDIRECT(ADDRESS(35,6)))</f>
        <v>-2</v>
      </c>
      <c r="L13" s="72"/>
      <c r="M13" s="12">
        <f ca="1">IF(COUNT(F13:K13)=0,"",SUM(F13:K13))</f>
        <v>-22</v>
      </c>
      <c r="N13" s="77"/>
    </row>
    <row r="14" spans="2:14" ht="24" customHeight="1" x14ac:dyDescent="0.25">
      <c r="B14" s="64">
        <v>6</v>
      </c>
      <c r="C14" s="66" t="s">
        <v>151</v>
      </c>
      <c r="D14" s="67"/>
      <c r="E14" s="68"/>
      <c r="F14" s="14" t="str">
        <f ca="1">INDIRECT(ADDRESS(20,7))&amp;":"&amp;INDIRECT(ADDRESS(20,6))</f>
        <v>5:13</v>
      </c>
      <c r="G14" s="16" t="str">
        <f ca="1">INDIRECT(ADDRESS(30,7))&amp;":"&amp;INDIRECT(ADDRESS(30,6))</f>
        <v>13:8</v>
      </c>
      <c r="H14" s="16" t="str">
        <f ca="1">INDIRECT(ADDRESS(40,7))&amp;":"&amp;INDIRECT(ADDRESS(40,6))</f>
        <v>8:13</v>
      </c>
      <c r="I14" s="16" t="str">
        <f ca="1">INDIRECT(ADDRESS(25,6))&amp;":"&amp;INDIRECT(ADDRESS(25,7))</f>
        <v>8:13</v>
      </c>
      <c r="J14" s="16" t="str">
        <f ca="1">INDIRECT(ADDRESS(35,6))&amp;":"&amp;INDIRECT(ADDRESS(35,7))</f>
        <v>13:11</v>
      </c>
      <c r="K14" s="20" t="s">
        <v>5</v>
      </c>
      <c r="L14" s="72">
        <f ca="1">IF(COUNT(F15:K15)=0,"",COUNTIF(F15:K15,"&gt;0")+0.5*COUNTIF(F15:K15,0))</f>
        <v>2</v>
      </c>
      <c r="M14" s="12"/>
      <c r="N14" s="74">
        <v>4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-8</v>
      </c>
      <c r="G15" s="22">
        <f ca="1">IF(LEN(INDIRECT(ADDRESS(ROW()-1, COLUMN())))=1,"",INDIRECT(ADDRESS(30,7))-INDIRECT(ADDRESS(30,6)))</f>
        <v>5</v>
      </c>
      <c r="H15" s="22">
        <f ca="1">IF(LEN(INDIRECT(ADDRESS(ROW()-1, COLUMN())))=1,"",INDIRECT(ADDRESS(40,7))-INDIRECT(ADDRESS(40,6)))</f>
        <v>-5</v>
      </c>
      <c r="I15" s="22">
        <f ca="1">IF(LEN(INDIRECT(ADDRESS(ROW()-1, COLUMN())))=1,"",INDIRECT(ADDRESS(25,6))-INDIRECT(ADDRESS(25,7)))</f>
        <v>-5</v>
      </c>
      <c r="J15" s="22">
        <f ca="1">IF(LEN(INDIRECT(ADDRESS(ROW()-1, COLUMN())))=1,"",INDIRECT(ADDRESS(35,6))-INDIRECT(ADDRESS(35,7)))</f>
        <v>2</v>
      </c>
      <c r="K15" s="23" t="s">
        <v>5</v>
      </c>
      <c r="L15" s="73"/>
      <c r="M15" s="22">
        <f ca="1">IF(COUNT(F15:K15)=0,"",SUM(F15:K15))</f>
        <v>-11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Гулинин Евгений</v>
      </c>
      <c r="D20" s="100"/>
      <c r="E20" s="101"/>
      <c r="F20" s="38">
        <v>13</v>
      </c>
      <c r="G20" s="39">
        <v>5</v>
      </c>
      <c r="H20" s="102" t="str">
        <f ca="1">IF(ISBLANK(INDIRECT(ADDRESS(K20*2+2,3))),"",INDIRECT(ADDRESS(K20*2+2,3)))</f>
        <v>Трушин Егор</v>
      </c>
      <c r="I20" s="100"/>
      <c r="J20" s="100"/>
      <c r="K20" s="37">
        <v>6</v>
      </c>
      <c r="L20" s="40" t="s">
        <v>13</v>
      </c>
      <c r="M20" s="28">
        <v>1</v>
      </c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Ницинский Стас</v>
      </c>
      <c r="D21" s="100"/>
      <c r="E21" s="101"/>
      <c r="F21" s="38">
        <v>13</v>
      </c>
      <c r="G21" s="39">
        <v>6</v>
      </c>
      <c r="H21" s="102" t="str">
        <f ca="1">IF(ISBLANK(INDIRECT(ADDRESS(K21*2+2,3))),"",INDIRECT(ADDRESS(K21*2+2,3)))</f>
        <v>Чашин Василий</v>
      </c>
      <c r="I21" s="100"/>
      <c r="J21" s="100"/>
      <c r="K21" s="37">
        <v>5</v>
      </c>
      <c r="L21" s="40" t="s">
        <v>13</v>
      </c>
      <c r="M21" s="28">
        <v>2</v>
      </c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Осокин Евгений</v>
      </c>
      <c r="D22" s="100"/>
      <c r="E22" s="101"/>
      <c r="F22" s="38">
        <v>8</v>
      </c>
      <c r="G22" s="39">
        <v>13</v>
      </c>
      <c r="H22" s="102" t="str">
        <f ca="1">IF(ISBLANK(INDIRECT(ADDRESS(K22*2+2,3))),"",INDIRECT(ADDRESS(K22*2+2,3)))</f>
        <v>Бейгер Максим</v>
      </c>
      <c r="I22" s="100"/>
      <c r="J22" s="100"/>
      <c r="K22" s="37">
        <v>4</v>
      </c>
      <c r="L22" s="40" t="s">
        <v>13</v>
      </c>
      <c r="M22" s="28">
        <v>3</v>
      </c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Трушин Егор</v>
      </c>
      <c r="D25" s="100"/>
      <c r="E25" s="101"/>
      <c r="F25" s="38">
        <v>8</v>
      </c>
      <c r="G25" s="39">
        <v>13</v>
      </c>
      <c r="H25" s="102" t="str">
        <f ca="1">IF(ISBLANK(INDIRECT(ADDRESS(K25*2+2,3))),"",INDIRECT(ADDRESS(K25*2+2,3)))</f>
        <v>Бейгер Максим</v>
      </c>
      <c r="I25" s="100"/>
      <c r="J25" s="100"/>
      <c r="K25" s="37">
        <v>4</v>
      </c>
      <c r="L25" s="40" t="s">
        <v>13</v>
      </c>
      <c r="M25" s="28">
        <v>5</v>
      </c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Чашин Василий</v>
      </c>
      <c r="D26" s="100"/>
      <c r="E26" s="101"/>
      <c r="F26" s="38">
        <v>4</v>
      </c>
      <c r="G26" s="39">
        <v>13</v>
      </c>
      <c r="H26" s="102" t="str">
        <f ca="1">IF(ISBLANK(INDIRECT(ADDRESS(K26*2+2,3))),"",INDIRECT(ADDRESS(K26*2+2,3)))</f>
        <v>Осокин Евгений</v>
      </c>
      <c r="I26" s="100"/>
      <c r="J26" s="100"/>
      <c r="K26" s="37">
        <v>3</v>
      </c>
      <c r="L26" s="40" t="s">
        <v>13</v>
      </c>
      <c r="M26" s="28">
        <v>6</v>
      </c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Гулинин Евгений</v>
      </c>
      <c r="D27" s="100"/>
      <c r="E27" s="101"/>
      <c r="F27" s="38">
        <v>13</v>
      </c>
      <c r="G27" s="39">
        <v>11</v>
      </c>
      <c r="H27" s="102" t="str">
        <f ca="1">IF(ISBLANK(INDIRECT(ADDRESS(K27*2+2,3))),"",INDIRECT(ADDRESS(K27*2+2,3)))</f>
        <v>Ницинский Стас</v>
      </c>
      <c r="I27" s="100"/>
      <c r="J27" s="100"/>
      <c r="K27" s="37">
        <v>2</v>
      </c>
      <c r="L27" s="40" t="s">
        <v>13</v>
      </c>
      <c r="M27" s="28">
        <v>4</v>
      </c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Ницинский Стас</v>
      </c>
      <c r="D30" s="100"/>
      <c r="E30" s="101"/>
      <c r="F30" s="38">
        <v>8</v>
      </c>
      <c r="G30" s="39">
        <v>13</v>
      </c>
      <c r="H30" s="102" t="str">
        <f ca="1">IF(ISBLANK(INDIRECT(ADDRESS(K30*2+2,3))),"",INDIRECT(ADDRESS(K30*2+2,3)))</f>
        <v>Трушин Егор</v>
      </c>
      <c r="I30" s="100"/>
      <c r="J30" s="100"/>
      <c r="K30" s="37">
        <v>6</v>
      </c>
      <c r="L30" s="40" t="s">
        <v>13</v>
      </c>
      <c r="M30" s="28">
        <v>7</v>
      </c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Осокин Евгений</v>
      </c>
      <c r="D31" s="100"/>
      <c r="E31" s="101"/>
      <c r="F31" s="38">
        <v>9</v>
      </c>
      <c r="G31" s="39">
        <v>13</v>
      </c>
      <c r="H31" s="102" t="str">
        <f ca="1">IF(ISBLANK(INDIRECT(ADDRESS(K31*2+2,3))),"",INDIRECT(ADDRESS(K31*2+2,3)))</f>
        <v>Гулинин Евгений</v>
      </c>
      <c r="I31" s="100"/>
      <c r="J31" s="100"/>
      <c r="K31" s="37">
        <v>1</v>
      </c>
      <c r="L31" s="40" t="s">
        <v>13</v>
      </c>
      <c r="M31" s="28">
        <v>8</v>
      </c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Бейгер Максим</v>
      </c>
      <c r="D32" s="100"/>
      <c r="E32" s="101"/>
      <c r="F32" s="38">
        <v>8</v>
      </c>
      <c r="G32" s="39">
        <v>13</v>
      </c>
      <c r="H32" s="102" t="str">
        <f ca="1">IF(ISBLANK(INDIRECT(ADDRESS(K32*2+2,3))),"",INDIRECT(ADDRESS(K32*2+2,3)))</f>
        <v>Чашин Василий</v>
      </c>
      <c r="I32" s="100"/>
      <c r="J32" s="100"/>
      <c r="K32" s="37">
        <v>5</v>
      </c>
      <c r="L32" s="40" t="s">
        <v>13</v>
      </c>
      <c r="M32" s="28">
        <v>1</v>
      </c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Трушин Егор</v>
      </c>
      <c r="D35" s="100"/>
      <c r="E35" s="101"/>
      <c r="F35" s="38">
        <v>13</v>
      </c>
      <c r="G35" s="39">
        <v>11</v>
      </c>
      <c r="H35" s="102" t="str">
        <f ca="1">IF(ISBLANK(INDIRECT(ADDRESS(K35*2+2,3))),"",INDIRECT(ADDRESS(K35*2+2,3)))</f>
        <v>Чашин Василий</v>
      </c>
      <c r="I35" s="100"/>
      <c r="J35" s="100"/>
      <c r="K35" s="37">
        <v>5</v>
      </c>
      <c r="L35" s="40" t="s">
        <v>13</v>
      </c>
      <c r="M35" s="28">
        <v>3</v>
      </c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Гулинин Евгений</v>
      </c>
      <c r="D36" s="100"/>
      <c r="E36" s="101"/>
      <c r="F36" s="38">
        <v>13</v>
      </c>
      <c r="G36" s="39">
        <v>2</v>
      </c>
      <c r="H36" s="102" t="str">
        <f ca="1">IF(ISBLANK(INDIRECT(ADDRESS(K36*2+2,3))),"",INDIRECT(ADDRESS(K36*2+2,3)))</f>
        <v>Бейгер Максим</v>
      </c>
      <c r="I36" s="100"/>
      <c r="J36" s="100"/>
      <c r="K36" s="37">
        <v>4</v>
      </c>
      <c r="L36" s="40" t="s">
        <v>13</v>
      </c>
      <c r="M36" s="28">
        <v>4</v>
      </c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Ницинский Стас</v>
      </c>
      <c r="D37" s="100"/>
      <c r="E37" s="101"/>
      <c r="F37" s="38">
        <v>9</v>
      </c>
      <c r="G37" s="39">
        <v>13</v>
      </c>
      <c r="H37" s="102" t="str">
        <f ca="1">IF(ISBLANK(INDIRECT(ADDRESS(K37*2+2,3))),"",INDIRECT(ADDRESS(K37*2+2,3)))</f>
        <v>Осокин Евгений</v>
      </c>
      <c r="I37" s="100"/>
      <c r="J37" s="100"/>
      <c r="K37" s="37">
        <v>3</v>
      </c>
      <c r="L37" s="40" t="s">
        <v>13</v>
      </c>
      <c r="M37" s="28">
        <v>2</v>
      </c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Осокин Евгений</v>
      </c>
      <c r="D40" s="100"/>
      <c r="E40" s="101"/>
      <c r="F40" s="38">
        <v>13</v>
      </c>
      <c r="G40" s="39">
        <v>8</v>
      </c>
      <c r="H40" s="102" t="str">
        <f ca="1">IF(ISBLANK(INDIRECT(ADDRESS(K40*2+2,3))),"",INDIRECT(ADDRESS(K40*2+2,3)))</f>
        <v>Трушин Егор</v>
      </c>
      <c r="I40" s="100"/>
      <c r="J40" s="100"/>
      <c r="K40" s="37">
        <v>6</v>
      </c>
      <c r="L40" s="40" t="s">
        <v>13</v>
      </c>
      <c r="M40" s="28">
        <v>5</v>
      </c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Бейгер Максим</v>
      </c>
      <c r="D41" s="100"/>
      <c r="E41" s="101"/>
      <c r="F41" s="38">
        <v>12</v>
      </c>
      <c r="G41" s="39">
        <v>11</v>
      </c>
      <c r="H41" s="102" t="str">
        <f ca="1">IF(ISBLANK(INDIRECT(ADDRESS(K41*2+2,3))),"",INDIRECT(ADDRESS(K41*2+2,3)))</f>
        <v>Ницинский Стас</v>
      </c>
      <c r="I41" s="100"/>
      <c r="J41" s="100"/>
      <c r="K41" s="37">
        <v>2</v>
      </c>
      <c r="L41" s="40" t="s">
        <v>13</v>
      </c>
      <c r="M41" s="28">
        <v>6</v>
      </c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Чашин Василий</v>
      </c>
      <c r="D42" s="100"/>
      <c r="E42" s="101"/>
      <c r="F42" s="38">
        <v>4</v>
      </c>
      <c r="G42" s="39">
        <v>13</v>
      </c>
      <c r="H42" s="102" t="str">
        <f ca="1">IF(ISBLANK(INDIRECT(ADDRESS(K42*2+2,3))),"",INDIRECT(ADDRESS(K42*2+2,3)))</f>
        <v>Гулинин Евгений</v>
      </c>
      <c r="I42" s="100"/>
      <c r="J42" s="100"/>
      <c r="K42" s="37">
        <v>1</v>
      </c>
      <c r="L42" s="40" t="s">
        <v>13</v>
      </c>
      <c r="M42" s="28">
        <v>7</v>
      </c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B1" sqref="B1:M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126" t="s">
        <v>90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45311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89" t="s">
        <v>94</v>
      </c>
      <c r="D4" s="90"/>
      <c r="E4" s="91"/>
      <c r="F4" s="7" t="s">
        <v>5</v>
      </c>
      <c r="G4" s="8" t="str">
        <f ca="1">INDIRECT(ADDRESS(27,6))&amp;":"&amp;INDIRECT(ADDRESS(27,7))</f>
        <v>13:1</v>
      </c>
      <c r="H4" s="8" t="str">
        <f ca="1">INDIRECT(ADDRESS(31,7))&amp;":"&amp;INDIRECT(ADDRESS(31,6))</f>
        <v>1:13</v>
      </c>
      <c r="I4" s="8" t="str">
        <f ca="1">INDIRECT(ADDRESS(36,6))&amp;":"&amp;INDIRECT(ADDRESS(36,7))</f>
        <v>13:5</v>
      </c>
      <c r="J4" s="8" t="str">
        <f ca="1">INDIRECT(ADDRESS(42,7))&amp;":"&amp;INDIRECT(ADDRESS(42,6))</f>
        <v>10:13</v>
      </c>
      <c r="K4" s="9" t="str">
        <f ca="1">INDIRECT(ADDRESS(20,6))&amp;":"&amp;INDIRECT(ADDRESS(20,7))</f>
        <v>13:7</v>
      </c>
      <c r="L4" s="92">
        <f ca="1">IF(COUNT(F5:K5)=0,"",COUNTIF(F5:K5,"&gt;0")+0.5*COUNTIF(F5:K5,0))</f>
        <v>3</v>
      </c>
      <c r="M4" s="10"/>
      <c r="N4" s="121">
        <v>2</v>
      </c>
    </row>
    <row r="5" spans="2:14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12</v>
      </c>
      <c r="H5" s="12">
        <f ca="1">IF(LEN(INDIRECT(ADDRESS(ROW()-1, COLUMN())))=1,"",INDIRECT(ADDRESS(31,7))-INDIRECT(ADDRESS(31,6)))</f>
        <v>-12</v>
      </c>
      <c r="I5" s="12">
        <f ca="1">IF(LEN(INDIRECT(ADDRESS(ROW()-1, COLUMN())))=1,"",INDIRECT(ADDRESS(36,6))-INDIRECT(ADDRESS(36,7)))</f>
        <v>8</v>
      </c>
      <c r="J5" s="12">
        <f ca="1">IF(LEN(INDIRECT(ADDRESS(ROW()-1, COLUMN())))=1,"",INDIRECT(ADDRESS(42,7))-INDIRECT(ADDRESS(42,6)))</f>
        <v>-3</v>
      </c>
      <c r="K5" s="13">
        <f ca="1">IF(LEN(INDIRECT(ADDRESS(ROW()-1, COLUMN())))=1,"",INDIRECT(ADDRESS(20,6))-INDIRECT(ADDRESS(20,7)))</f>
        <v>6</v>
      </c>
      <c r="L5" s="72"/>
      <c r="M5" s="12">
        <f ca="1">IF(COUNT(F5:K5)=0,"",SUM(F5:K5))</f>
        <v>11</v>
      </c>
      <c r="N5" s="77"/>
    </row>
    <row r="6" spans="2:14" ht="24" customHeight="1" x14ac:dyDescent="0.25">
      <c r="B6" s="64">
        <v>2</v>
      </c>
      <c r="C6" s="66" t="s">
        <v>95</v>
      </c>
      <c r="D6" s="67"/>
      <c r="E6" s="68"/>
      <c r="F6" s="14" t="str">
        <f ca="1">INDIRECT(ADDRESS(27,7))&amp;":"&amp;INDIRECT(ADDRESS(27,6))</f>
        <v>1:13</v>
      </c>
      <c r="G6" s="15" t="s">
        <v>5</v>
      </c>
      <c r="H6" s="16" t="str">
        <f ca="1">INDIRECT(ADDRESS(37,6))&amp;":"&amp;INDIRECT(ADDRESS(37,7))</f>
        <v>13:8</v>
      </c>
      <c r="I6" s="16" t="str">
        <f ca="1">INDIRECT(ADDRESS(41,7))&amp;":"&amp;INDIRECT(ADDRESS(41,6))</f>
        <v>13:11</v>
      </c>
      <c r="J6" s="16" t="str">
        <f ca="1">INDIRECT(ADDRESS(21,6))&amp;":"&amp;INDIRECT(ADDRESS(21,7))</f>
        <v>4:13</v>
      </c>
      <c r="K6" s="17" t="str">
        <f ca="1">INDIRECT(ADDRESS(30,6))&amp;":"&amp;INDIRECT(ADDRESS(30,7))</f>
        <v>4:13</v>
      </c>
      <c r="L6" s="72">
        <f ca="1">IF(COUNT(F7:K7)=0,"",COUNTIF(F7:K7,"&gt;0")+0.5*COUNTIF(F7:K7,0))</f>
        <v>2</v>
      </c>
      <c r="M6" s="12">
        <v>-7</v>
      </c>
      <c r="N6" s="74">
        <v>5</v>
      </c>
    </row>
    <row r="7" spans="2:14" ht="24" customHeight="1" x14ac:dyDescent="0.25">
      <c r="B7" s="76"/>
      <c r="C7" s="66"/>
      <c r="D7" s="67"/>
      <c r="E7" s="68"/>
      <c r="F7" s="18">
        <f ca="1">IF(LEN(INDIRECT(ADDRESS(ROW()-1, COLUMN())))=1,"",INDIRECT(ADDRESS(27,7))-INDIRECT(ADDRESS(27,6)))</f>
        <v>-12</v>
      </c>
      <c r="G7" s="19" t="s">
        <v>5</v>
      </c>
      <c r="H7" s="12">
        <f ca="1">IF(LEN(INDIRECT(ADDRESS(ROW()-1, COLUMN())))=1,"",INDIRECT(ADDRESS(37,6))-INDIRECT(ADDRESS(37,7)))</f>
        <v>5</v>
      </c>
      <c r="I7" s="12">
        <f ca="1">IF(LEN(INDIRECT(ADDRESS(ROW()-1, COLUMN())))=1,"",INDIRECT(ADDRESS(41,7))-INDIRECT(ADDRESS(41,6)))</f>
        <v>2</v>
      </c>
      <c r="J7" s="12">
        <f ca="1">IF(LEN(INDIRECT(ADDRESS(ROW()-1, COLUMN())))=1,"",INDIRECT(ADDRESS(21,6))-INDIRECT(ADDRESS(21,7)))</f>
        <v>-9</v>
      </c>
      <c r="K7" s="13">
        <f ca="1">IF(LEN(INDIRECT(ADDRESS(ROW()-1, COLUMN())))=1,"",INDIRECT(ADDRESS(30,6))-INDIRECT(ADDRESS(30,7)))</f>
        <v>-9</v>
      </c>
      <c r="L7" s="72"/>
      <c r="M7" s="12">
        <f ca="1">IF(COUNT(F7:K7)=0,"",SUM(F7:K7))</f>
        <v>-23</v>
      </c>
      <c r="N7" s="77"/>
    </row>
    <row r="8" spans="2:14" ht="24" customHeight="1" x14ac:dyDescent="0.25">
      <c r="B8" s="64">
        <v>3</v>
      </c>
      <c r="C8" s="66" t="s">
        <v>96</v>
      </c>
      <c r="D8" s="67"/>
      <c r="E8" s="68"/>
      <c r="F8" s="14" t="str">
        <f ca="1">INDIRECT(ADDRESS(31,6))&amp;":"&amp;INDIRECT(ADDRESS(31,7))</f>
        <v>13:1</v>
      </c>
      <c r="G8" s="16" t="str">
        <f ca="1">INDIRECT(ADDRESS(37,7))&amp;":"&amp;INDIRECT(ADDRESS(37,6))</f>
        <v>8:13</v>
      </c>
      <c r="H8" s="15" t="s">
        <v>5</v>
      </c>
      <c r="I8" s="16" t="str">
        <f ca="1">INDIRECT(ADDRESS(22,6))&amp;":"&amp;INDIRECT(ADDRESS(22,7))</f>
        <v>10:13</v>
      </c>
      <c r="J8" s="16" t="str">
        <f ca="1">INDIRECT(ADDRESS(26,7))&amp;":"&amp;INDIRECT(ADDRESS(26,6))</f>
        <v>12:13</v>
      </c>
      <c r="K8" s="17" t="str">
        <f ca="1">INDIRECT(ADDRESS(40,6))&amp;":"&amp;INDIRECT(ADDRESS(40,7))</f>
        <v>9:13</v>
      </c>
      <c r="L8" s="72">
        <f ca="1">IF(COUNT(F9:K9)=0,"",COUNTIF(F9:K9,"&gt;0")+0.5*COUNTIF(F9:K9,0))</f>
        <v>1</v>
      </c>
      <c r="M8" s="12"/>
      <c r="N8" s="74">
        <v>6</v>
      </c>
    </row>
    <row r="9" spans="2:14" ht="24" customHeight="1" x14ac:dyDescent="0.25">
      <c r="B9" s="76"/>
      <c r="C9" s="66"/>
      <c r="D9" s="67"/>
      <c r="E9" s="68"/>
      <c r="F9" s="18">
        <f ca="1">IF(LEN(INDIRECT(ADDRESS(ROW()-1, COLUMN())))=1,"",INDIRECT(ADDRESS(31,6))-INDIRECT(ADDRESS(31,7)))</f>
        <v>12</v>
      </c>
      <c r="G9" s="12">
        <f ca="1">IF(LEN(INDIRECT(ADDRESS(ROW()-1, COLUMN())))=1,"",INDIRECT(ADDRESS(37,7))-INDIRECT(ADDRESS(37,6)))</f>
        <v>-5</v>
      </c>
      <c r="H9" s="19" t="s">
        <v>5</v>
      </c>
      <c r="I9" s="12">
        <f ca="1">IF(LEN(INDIRECT(ADDRESS(ROW()-1, COLUMN())))=1,"",INDIRECT(ADDRESS(22,6))-INDIRECT(ADDRESS(22,7)))</f>
        <v>-3</v>
      </c>
      <c r="J9" s="12">
        <f ca="1">IF(LEN(INDIRECT(ADDRESS(ROW()-1, COLUMN())))=1,"",INDIRECT(ADDRESS(26,7))-INDIRECT(ADDRESS(26,6)))</f>
        <v>-1</v>
      </c>
      <c r="K9" s="13">
        <f ca="1">IF(LEN(INDIRECT(ADDRESS(ROW()-1, COLUMN())))=1,"",INDIRECT(ADDRESS(40,6))-INDIRECT(ADDRESS(40,7)))</f>
        <v>-4</v>
      </c>
      <c r="L9" s="72"/>
      <c r="M9" s="12">
        <f ca="1">IF(COUNT(F9:K9)=0,"",SUM(F9:K9))</f>
        <v>-1</v>
      </c>
      <c r="N9" s="77"/>
    </row>
    <row r="10" spans="2:14" ht="24" customHeight="1" x14ac:dyDescent="0.25">
      <c r="B10" s="64">
        <v>4</v>
      </c>
      <c r="C10" s="66" t="s">
        <v>97</v>
      </c>
      <c r="D10" s="67"/>
      <c r="E10" s="68"/>
      <c r="F10" s="14" t="str">
        <f ca="1">INDIRECT(ADDRESS(36,7))&amp;":"&amp;INDIRECT(ADDRESS(36,6))</f>
        <v>5:13</v>
      </c>
      <c r="G10" s="16" t="str">
        <f ca="1">INDIRECT(ADDRESS(41,6))&amp;":"&amp;INDIRECT(ADDRESS(41,7))</f>
        <v>11:13</v>
      </c>
      <c r="H10" s="16" t="str">
        <f ca="1">INDIRECT(ADDRESS(22,7))&amp;":"&amp;INDIRECT(ADDRESS(22,6))</f>
        <v>13:10</v>
      </c>
      <c r="I10" s="15" t="s">
        <v>5</v>
      </c>
      <c r="J10" s="16" t="str">
        <f ca="1">INDIRECT(ADDRESS(32,6))&amp;":"&amp;INDIRECT(ADDRESS(32,7))</f>
        <v>7:13</v>
      </c>
      <c r="K10" s="17" t="str">
        <f ca="1">INDIRECT(ADDRESS(25,7))&amp;":"&amp;INDIRECT(ADDRESS(25,6))</f>
        <v>13:8</v>
      </c>
      <c r="L10" s="72">
        <f ca="1">IF(COUNT(F11:K11)=0,"",COUNTIF(F11:K11,"&gt;0")+0.5*COUNTIF(F11:K11,0))</f>
        <v>2</v>
      </c>
      <c r="M10" s="12">
        <v>3</v>
      </c>
      <c r="N10" s="74">
        <v>3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-8</v>
      </c>
      <c r="G11" s="12">
        <f ca="1">IF(LEN(INDIRECT(ADDRESS(ROW()-1, COLUMN())))=1,"",INDIRECT(ADDRESS(41,6))-INDIRECT(ADDRESS(41,7)))</f>
        <v>-2</v>
      </c>
      <c r="H11" s="12">
        <f ca="1">IF(LEN(INDIRECT(ADDRESS(ROW()-1, COLUMN())))=1,"",INDIRECT(ADDRESS(22,7))-INDIRECT(ADDRESS(22,6)))</f>
        <v>3</v>
      </c>
      <c r="I11" s="19" t="s">
        <v>5</v>
      </c>
      <c r="J11" s="12">
        <f ca="1">IF(LEN(INDIRECT(ADDRESS(ROW()-1, COLUMN())))=1,"",INDIRECT(ADDRESS(32,6))-INDIRECT(ADDRESS(32,7)))</f>
        <v>-6</v>
      </c>
      <c r="K11" s="13">
        <f ca="1">IF(LEN(INDIRECT(ADDRESS(ROW()-1, COLUMN())))=1,"",INDIRECT(ADDRESS(25,7))-INDIRECT(ADDRESS(25,6)))</f>
        <v>5</v>
      </c>
      <c r="L11" s="72"/>
      <c r="M11" s="12">
        <f ca="1">IF(COUNT(F11:K11)=0,"",SUM(F11:K11))</f>
        <v>-8</v>
      </c>
      <c r="N11" s="77"/>
    </row>
    <row r="12" spans="2:14" ht="24" customHeight="1" x14ac:dyDescent="0.25">
      <c r="B12" s="64">
        <v>5</v>
      </c>
      <c r="C12" s="78" t="s">
        <v>98</v>
      </c>
      <c r="D12" s="79"/>
      <c r="E12" s="80"/>
      <c r="F12" s="14" t="str">
        <f ca="1">INDIRECT(ADDRESS(42,6))&amp;":"&amp;INDIRECT(ADDRESS(42,7))</f>
        <v>13:10</v>
      </c>
      <c r="G12" s="16" t="str">
        <f ca="1">INDIRECT(ADDRESS(21,7))&amp;":"&amp;INDIRECT(ADDRESS(21,6))</f>
        <v>13:4</v>
      </c>
      <c r="H12" s="16" t="str">
        <f ca="1">INDIRECT(ADDRESS(26,6))&amp;":"&amp;INDIRECT(ADDRESS(26,7))</f>
        <v>13:12</v>
      </c>
      <c r="I12" s="16" t="str">
        <f ca="1">INDIRECT(ADDRESS(32,7))&amp;":"&amp;INDIRECT(ADDRESS(32,6))</f>
        <v>13:7</v>
      </c>
      <c r="J12" s="15" t="s">
        <v>5</v>
      </c>
      <c r="K12" s="17" t="str">
        <f ca="1">INDIRECT(ADDRESS(35,7))&amp;":"&amp;INDIRECT(ADDRESS(35,6))</f>
        <v>13:8</v>
      </c>
      <c r="L12" s="72">
        <f ca="1">IF(COUNT(F13:K13)=0,"",COUNTIF(F13:K13,"&gt;0")+0.5*COUNTIF(F13:K13,0))</f>
        <v>5</v>
      </c>
      <c r="M12" s="12"/>
      <c r="N12" s="74">
        <v>1</v>
      </c>
    </row>
    <row r="13" spans="2:14" ht="24" customHeight="1" x14ac:dyDescent="0.25">
      <c r="B13" s="76"/>
      <c r="C13" s="78"/>
      <c r="D13" s="79"/>
      <c r="E13" s="80"/>
      <c r="F13" s="18">
        <f ca="1">IF(LEN(INDIRECT(ADDRESS(ROW()-1, COLUMN())))=1,"",INDIRECT(ADDRESS(42,6))-INDIRECT(ADDRESS(42,7)))</f>
        <v>3</v>
      </c>
      <c r="G13" s="12">
        <f ca="1">IF(LEN(INDIRECT(ADDRESS(ROW()-1, COLUMN())))=1,"",INDIRECT(ADDRESS(21,7))-INDIRECT(ADDRESS(21,6)))</f>
        <v>9</v>
      </c>
      <c r="H13" s="12">
        <f ca="1">IF(LEN(INDIRECT(ADDRESS(ROW()-1, COLUMN())))=1,"",INDIRECT(ADDRESS(26,6))-INDIRECT(ADDRESS(26,7)))</f>
        <v>1</v>
      </c>
      <c r="I13" s="12">
        <f ca="1">IF(LEN(INDIRECT(ADDRESS(ROW()-1, COLUMN())))=1,"",INDIRECT(ADDRESS(32,7))-INDIRECT(ADDRESS(32,6)))</f>
        <v>6</v>
      </c>
      <c r="J13" s="19" t="s">
        <v>5</v>
      </c>
      <c r="K13" s="13">
        <f ca="1">IF(LEN(INDIRECT(ADDRESS(ROW()-1, COLUMN())))=1,"",INDIRECT(ADDRESS(35,7))-INDIRECT(ADDRESS(35,6)))</f>
        <v>5</v>
      </c>
      <c r="L13" s="72"/>
      <c r="M13" s="12">
        <f ca="1">IF(COUNT(F13:K13)=0,"",SUM(F13:K13))</f>
        <v>24</v>
      </c>
      <c r="N13" s="77"/>
    </row>
    <row r="14" spans="2:14" ht="24" customHeight="1" x14ac:dyDescent="0.25">
      <c r="B14" s="64">
        <v>6</v>
      </c>
      <c r="C14" s="66" t="s">
        <v>99</v>
      </c>
      <c r="D14" s="67"/>
      <c r="E14" s="68"/>
      <c r="F14" s="14" t="str">
        <f ca="1">INDIRECT(ADDRESS(20,7))&amp;":"&amp;INDIRECT(ADDRESS(20,6))</f>
        <v>7:13</v>
      </c>
      <c r="G14" s="16" t="str">
        <f ca="1">INDIRECT(ADDRESS(30,7))&amp;":"&amp;INDIRECT(ADDRESS(30,6))</f>
        <v>13:4</v>
      </c>
      <c r="H14" s="16" t="str">
        <f ca="1">INDIRECT(ADDRESS(40,7))&amp;":"&amp;INDIRECT(ADDRESS(40,6))</f>
        <v>13:9</v>
      </c>
      <c r="I14" s="16" t="str">
        <f ca="1">INDIRECT(ADDRESS(25,6))&amp;":"&amp;INDIRECT(ADDRESS(25,7))</f>
        <v>8:13</v>
      </c>
      <c r="J14" s="16" t="str">
        <f ca="1">INDIRECT(ADDRESS(35,6))&amp;":"&amp;INDIRECT(ADDRESS(35,7))</f>
        <v>8:13</v>
      </c>
      <c r="K14" s="20" t="s">
        <v>5</v>
      </c>
      <c r="L14" s="72">
        <f ca="1">IF(COUNT(F15:K15)=0,"",COUNTIF(F15:K15,"&gt;0")+0.5*COUNTIF(F15:K15,0))</f>
        <v>2</v>
      </c>
      <c r="M14" s="12">
        <v>4</v>
      </c>
      <c r="N14" s="74">
        <v>4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-6</v>
      </c>
      <c r="G15" s="22">
        <f ca="1">IF(LEN(INDIRECT(ADDRESS(ROW()-1, COLUMN())))=1,"",INDIRECT(ADDRESS(30,7))-INDIRECT(ADDRESS(30,6)))</f>
        <v>9</v>
      </c>
      <c r="H15" s="22">
        <f ca="1">IF(LEN(INDIRECT(ADDRESS(ROW()-1, COLUMN())))=1,"",INDIRECT(ADDRESS(40,7))-INDIRECT(ADDRESS(40,6)))</f>
        <v>4</v>
      </c>
      <c r="I15" s="22">
        <f ca="1">IF(LEN(INDIRECT(ADDRESS(ROW()-1, COLUMN())))=1,"",INDIRECT(ADDRESS(25,6))-INDIRECT(ADDRESS(25,7)))</f>
        <v>-5</v>
      </c>
      <c r="J15" s="22">
        <f ca="1">IF(LEN(INDIRECT(ADDRESS(ROW()-1, COLUMN())))=1,"",INDIRECT(ADDRESS(35,6))-INDIRECT(ADDRESS(35,7)))</f>
        <v>-5</v>
      </c>
      <c r="K15" s="23" t="s">
        <v>5</v>
      </c>
      <c r="L15" s="73"/>
      <c r="M15" s="22">
        <f ca="1">IF(COUNT(F15:K15)=0,"",SUM(F15:K15))</f>
        <v>-3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Петрушко Юля</v>
      </c>
      <c r="D20" s="100"/>
      <c r="E20" s="101"/>
      <c r="F20" s="38">
        <v>13</v>
      </c>
      <c r="G20" s="39">
        <v>7</v>
      </c>
      <c r="H20" s="102" t="str">
        <f ca="1">IF(ISBLANK(INDIRECT(ADDRESS(K20*2+2,3))),"",INDIRECT(ADDRESS(K20*2+2,3)))</f>
        <v>Трофимова Катерина</v>
      </c>
      <c r="I20" s="100"/>
      <c r="J20" s="100"/>
      <c r="K20" s="37">
        <v>6</v>
      </c>
      <c r="L20" s="40" t="s">
        <v>13</v>
      </c>
      <c r="M20" s="28">
        <v>1</v>
      </c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Головко Татьяна</v>
      </c>
      <c r="D21" s="100"/>
      <c r="E21" s="101"/>
      <c r="F21" s="38">
        <v>4</v>
      </c>
      <c r="G21" s="39">
        <v>13</v>
      </c>
      <c r="H21" s="102" t="str">
        <f ca="1">IF(ISBLANK(INDIRECT(ADDRESS(K21*2+2,3))),"",INDIRECT(ADDRESS(K21*2+2,3)))</f>
        <v>Дубовицкая Ольга</v>
      </c>
      <c r="I21" s="100"/>
      <c r="J21" s="100"/>
      <c r="K21" s="37">
        <v>5</v>
      </c>
      <c r="L21" s="40" t="s">
        <v>13</v>
      </c>
      <c r="M21" s="28">
        <v>2</v>
      </c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Артюхина Елена</v>
      </c>
      <c r="D22" s="100"/>
      <c r="E22" s="101"/>
      <c r="F22" s="38">
        <v>10</v>
      </c>
      <c r="G22" s="39">
        <v>13</v>
      </c>
      <c r="H22" s="102" t="str">
        <f ca="1">IF(ISBLANK(INDIRECT(ADDRESS(K22*2+2,3))),"",INDIRECT(ADDRESS(K22*2+2,3)))</f>
        <v>Кайтукова Фатима</v>
      </c>
      <c r="I22" s="100"/>
      <c r="J22" s="100"/>
      <c r="K22" s="37">
        <v>4</v>
      </c>
      <c r="L22" s="40" t="s">
        <v>13</v>
      </c>
      <c r="M22" s="28">
        <v>3</v>
      </c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Трофимова Катерина</v>
      </c>
      <c r="D25" s="100"/>
      <c r="E25" s="101"/>
      <c r="F25" s="38">
        <v>8</v>
      </c>
      <c r="G25" s="39">
        <v>13</v>
      </c>
      <c r="H25" s="102" t="str">
        <f ca="1">IF(ISBLANK(INDIRECT(ADDRESS(K25*2+2,3))),"",INDIRECT(ADDRESS(K25*2+2,3)))</f>
        <v>Кайтукова Фатима</v>
      </c>
      <c r="I25" s="100"/>
      <c r="J25" s="100"/>
      <c r="K25" s="37">
        <v>4</v>
      </c>
      <c r="L25" s="40" t="s">
        <v>13</v>
      </c>
      <c r="M25" s="28">
        <v>5</v>
      </c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Дубовицкая Ольга</v>
      </c>
      <c r="D26" s="100"/>
      <c r="E26" s="101"/>
      <c r="F26" s="38">
        <v>13</v>
      </c>
      <c r="G26" s="39">
        <v>12</v>
      </c>
      <c r="H26" s="102" t="str">
        <f ca="1">IF(ISBLANK(INDIRECT(ADDRESS(K26*2+2,3))),"",INDIRECT(ADDRESS(K26*2+2,3)))</f>
        <v>Артюхина Елена</v>
      </c>
      <c r="I26" s="100"/>
      <c r="J26" s="100"/>
      <c r="K26" s="37">
        <v>3</v>
      </c>
      <c r="L26" s="40" t="s">
        <v>13</v>
      </c>
      <c r="M26" s="28">
        <v>6</v>
      </c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Петрушко Юля</v>
      </c>
      <c r="D27" s="100"/>
      <c r="E27" s="101"/>
      <c r="F27" s="38">
        <v>13</v>
      </c>
      <c r="G27" s="39">
        <v>1</v>
      </c>
      <c r="H27" s="102" t="str">
        <f ca="1">IF(ISBLANK(INDIRECT(ADDRESS(K27*2+2,3))),"",INDIRECT(ADDRESS(K27*2+2,3)))</f>
        <v>Головко Татьяна</v>
      </c>
      <c r="I27" s="100"/>
      <c r="J27" s="100"/>
      <c r="K27" s="37">
        <v>2</v>
      </c>
      <c r="L27" s="40" t="s">
        <v>13</v>
      </c>
      <c r="M27" s="28">
        <v>4</v>
      </c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Головко Татьяна</v>
      </c>
      <c r="D30" s="100"/>
      <c r="E30" s="101"/>
      <c r="F30" s="38">
        <v>4</v>
      </c>
      <c r="G30" s="39">
        <v>13</v>
      </c>
      <c r="H30" s="102" t="str">
        <f ca="1">IF(ISBLANK(INDIRECT(ADDRESS(K30*2+2,3))),"",INDIRECT(ADDRESS(K30*2+2,3)))</f>
        <v>Трофимова Катерина</v>
      </c>
      <c r="I30" s="100"/>
      <c r="J30" s="100"/>
      <c r="K30" s="37">
        <v>6</v>
      </c>
      <c r="L30" s="40" t="s">
        <v>13</v>
      </c>
      <c r="M30" s="28">
        <v>7</v>
      </c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Артюхина Елена</v>
      </c>
      <c r="D31" s="100"/>
      <c r="E31" s="101"/>
      <c r="F31" s="38">
        <v>13</v>
      </c>
      <c r="G31" s="39">
        <v>1</v>
      </c>
      <c r="H31" s="102" t="str">
        <f ca="1">IF(ISBLANK(INDIRECT(ADDRESS(K31*2+2,3))),"",INDIRECT(ADDRESS(K31*2+2,3)))</f>
        <v>Петрушко Юля</v>
      </c>
      <c r="I31" s="100"/>
      <c r="J31" s="100"/>
      <c r="K31" s="37">
        <v>1</v>
      </c>
      <c r="L31" s="40" t="s">
        <v>13</v>
      </c>
      <c r="M31" s="28">
        <v>8</v>
      </c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Кайтукова Фатима</v>
      </c>
      <c r="D32" s="100"/>
      <c r="E32" s="101"/>
      <c r="F32" s="38">
        <v>7</v>
      </c>
      <c r="G32" s="39">
        <v>13</v>
      </c>
      <c r="H32" s="102" t="str">
        <f ca="1">IF(ISBLANK(INDIRECT(ADDRESS(K32*2+2,3))),"",INDIRECT(ADDRESS(K32*2+2,3)))</f>
        <v>Дубовицкая Ольга</v>
      </c>
      <c r="I32" s="100"/>
      <c r="J32" s="100"/>
      <c r="K32" s="37">
        <v>5</v>
      </c>
      <c r="L32" s="40" t="s">
        <v>13</v>
      </c>
      <c r="M32" s="28">
        <v>9</v>
      </c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Трофимова Катерина</v>
      </c>
      <c r="D35" s="100"/>
      <c r="E35" s="101"/>
      <c r="F35" s="38">
        <v>8</v>
      </c>
      <c r="G35" s="39">
        <v>13</v>
      </c>
      <c r="H35" s="102" t="str">
        <f ca="1">IF(ISBLANK(INDIRECT(ADDRESS(K35*2+2,3))),"",INDIRECT(ADDRESS(K35*2+2,3)))</f>
        <v>Дубовицкая Ольга</v>
      </c>
      <c r="I35" s="100"/>
      <c r="J35" s="100"/>
      <c r="K35" s="37">
        <v>5</v>
      </c>
      <c r="L35" s="40" t="s">
        <v>13</v>
      </c>
      <c r="M35" s="28">
        <v>1</v>
      </c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Петрушко Юля</v>
      </c>
      <c r="D36" s="100"/>
      <c r="E36" s="101"/>
      <c r="F36" s="38">
        <v>13</v>
      </c>
      <c r="G36" s="39">
        <v>5</v>
      </c>
      <c r="H36" s="102" t="str">
        <f ca="1">IF(ISBLANK(INDIRECT(ADDRESS(K36*2+2,3))),"",INDIRECT(ADDRESS(K36*2+2,3)))</f>
        <v>Кайтукова Фатима</v>
      </c>
      <c r="I36" s="100"/>
      <c r="J36" s="100"/>
      <c r="K36" s="37">
        <v>4</v>
      </c>
      <c r="L36" s="40" t="s">
        <v>13</v>
      </c>
      <c r="M36" s="28">
        <v>2</v>
      </c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Головко Татьяна</v>
      </c>
      <c r="D37" s="100"/>
      <c r="E37" s="101"/>
      <c r="F37" s="38">
        <v>13</v>
      </c>
      <c r="G37" s="39">
        <v>8</v>
      </c>
      <c r="H37" s="102" t="str">
        <f ca="1">IF(ISBLANK(INDIRECT(ADDRESS(K37*2+2,3))),"",INDIRECT(ADDRESS(K37*2+2,3)))</f>
        <v>Артюхина Елена</v>
      </c>
      <c r="I37" s="100"/>
      <c r="J37" s="100"/>
      <c r="K37" s="37">
        <v>3</v>
      </c>
      <c r="L37" s="40" t="s">
        <v>13</v>
      </c>
      <c r="M37" s="28">
        <v>3</v>
      </c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Артюхина Елена</v>
      </c>
      <c r="D40" s="100"/>
      <c r="E40" s="101"/>
      <c r="F40" s="38">
        <v>9</v>
      </c>
      <c r="G40" s="39">
        <v>13</v>
      </c>
      <c r="H40" s="102" t="str">
        <f ca="1">IF(ISBLANK(INDIRECT(ADDRESS(K40*2+2,3))),"",INDIRECT(ADDRESS(K40*2+2,3)))</f>
        <v>Трофимова Катерина</v>
      </c>
      <c r="I40" s="100"/>
      <c r="J40" s="100"/>
      <c r="K40" s="37">
        <v>6</v>
      </c>
      <c r="L40" s="40" t="s">
        <v>13</v>
      </c>
      <c r="M40" s="28">
        <v>5</v>
      </c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Кайтукова Фатима</v>
      </c>
      <c r="D41" s="100"/>
      <c r="E41" s="101"/>
      <c r="F41" s="38">
        <v>11</v>
      </c>
      <c r="G41" s="39">
        <v>13</v>
      </c>
      <c r="H41" s="102" t="str">
        <f ca="1">IF(ISBLANK(INDIRECT(ADDRESS(K41*2+2,3))),"",INDIRECT(ADDRESS(K41*2+2,3)))</f>
        <v>Головко Татьяна</v>
      </c>
      <c r="I41" s="100"/>
      <c r="J41" s="100"/>
      <c r="K41" s="37">
        <v>2</v>
      </c>
      <c r="L41" s="40" t="s">
        <v>13</v>
      </c>
      <c r="M41" s="28">
        <v>6</v>
      </c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Дубовицкая Ольга</v>
      </c>
      <c r="D42" s="100"/>
      <c r="E42" s="101"/>
      <c r="F42" s="38">
        <v>13</v>
      </c>
      <c r="G42" s="39">
        <v>10</v>
      </c>
      <c r="H42" s="102" t="str">
        <f ca="1">IF(ISBLANK(INDIRECT(ADDRESS(K42*2+2,3))),"",INDIRECT(ADDRESS(K42*2+2,3)))</f>
        <v>Петрушко Юля</v>
      </c>
      <c r="I42" s="100"/>
      <c r="J42" s="100"/>
      <c r="K42" s="37">
        <v>1</v>
      </c>
      <c r="L42" s="40" t="s">
        <v>13</v>
      </c>
      <c r="M42" s="28">
        <v>4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25" right="0.25" top="0.75" bottom="0.75" header="0.3" footer="0.3"/>
  <pageSetup paperSize="9"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B1" sqref="B1:M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customFormat="1" ht="31.5" x14ac:dyDescent="0.25">
      <c r="B1" s="126" t="s">
        <v>93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45311</v>
      </c>
    </row>
    <row r="2" spans="2:13" customFormat="1" ht="15.75" thickBot="1" x14ac:dyDescent="0.3"/>
    <row r="3" spans="2:13" customFormat="1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customFormat="1" ht="21" x14ac:dyDescent="0.25">
      <c r="B4" s="88">
        <v>1</v>
      </c>
      <c r="C4" s="89" t="s">
        <v>113</v>
      </c>
      <c r="D4" s="90"/>
      <c r="E4" s="91"/>
      <c r="F4" s="7" t="s">
        <v>5</v>
      </c>
      <c r="G4" s="8" t="str">
        <f ca="1">INDIRECT(ADDRESS(23,6))&amp;":"&amp;INDIRECT(ADDRESS(23,7))</f>
        <v>13:5</v>
      </c>
      <c r="H4" s="8" t="str">
        <f ca="1">INDIRECT(ADDRESS(26,7))&amp;":"&amp;INDIRECT(ADDRESS(26,6))</f>
        <v>13:11</v>
      </c>
      <c r="I4" s="8" t="str">
        <f ca="1">INDIRECT(ADDRESS(30,6))&amp;":"&amp;INDIRECT(ADDRESS(30,7))</f>
        <v>13:8</v>
      </c>
      <c r="J4" s="9" t="str">
        <f ca="1">INDIRECT(ADDRESS(35,7))&amp;":"&amp;INDIRECT(ADDRESS(35,6))</f>
        <v>4:13</v>
      </c>
      <c r="K4" s="99">
        <f ca="1">IF(COUNT(F5:J5)=0,"",COUNTIF(F5:J5,"&gt;0")+0.5*COUNTIF(F5:J5,0))</f>
        <v>3</v>
      </c>
      <c r="L4" s="10"/>
      <c r="M4" s="103">
        <v>1</v>
      </c>
    </row>
    <row r="5" spans="2:13" customFormat="1" ht="2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COLUMN())))=1,"",INDIRECT(ADDRESS(23,6))-INDIRECT(ADDRESS(23,7)))</f>
        <v>8</v>
      </c>
      <c r="H5" s="12">
        <f ca="1">IF(LEN(INDIRECT(ADDRESS(ROW()-1, COLUMN())))=1,"",INDIRECT(ADDRESS(26,7))-INDIRECT(ADDRESS(26,6)))</f>
        <v>2</v>
      </c>
      <c r="I5" s="12">
        <f ca="1">IF(LEN(INDIRECT(ADDRESS(ROW()-1, COLUMN())))=1,"",INDIRECT(ADDRESS(30,6))-INDIRECT(ADDRESS(30,7)))</f>
        <v>5</v>
      </c>
      <c r="J5" s="13">
        <f ca="1">IF(LEN(INDIRECT(ADDRESS(ROW()-1, COLUMN())))=1,"",INDIRECT(ADDRESS(35,7))-INDIRECT(ADDRESS(35,6)))</f>
        <v>-9</v>
      </c>
      <c r="K5" s="93"/>
      <c r="L5" s="12">
        <f ca="1">IF(COUNT(F5:J5)=0,"",SUM(F5:J5))</f>
        <v>6</v>
      </c>
      <c r="M5" s="94"/>
    </row>
    <row r="6" spans="2:13" customFormat="1" ht="21" x14ac:dyDescent="0.25">
      <c r="B6" s="64">
        <v>2</v>
      </c>
      <c r="C6" s="66" t="s">
        <v>115</v>
      </c>
      <c r="D6" s="67"/>
      <c r="E6" s="68"/>
      <c r="F6" s="14" t="str">
        <f ca="1">INDIRECT(ADDRESS(23,7))&amp;":"&amp;INDIRECT(ADDRESS(23,6))</f>
        <v>5:13</v>
      </c>
      <c r="G6" s="15" t="s">
        <v>5</v>
      </c>
      <c r="H6" s="16" t="str">
        <f ca="1">INDIRECT(ADDRESS(31,6))&amp;":"&amp;INDIRECT(ADDRESS(31,7))</f>
        <v>8:13</v>
      </c>
      <c r="I6" s="16" t="str">
        <f ca="1">INDIRECT(ADDRESS(34,7))&amp;":"&amp;INDIRECT(ADDRESS(34,6))</f>
        <v>7:13</v>
      </c>
      <c r="J6" s="17" t="str">
        <f ca="1">INDIRECT(ADDRESS(18,6))&amp;":"&amp;INDIRECT(ADDRESS(18,7))</f>
        <v>6:13</v>
      </c>
      <c r="K6" s="93">
        <f ca="1">IF(COUNT(F7:J7)=0,"",COUNTIF(F7:J7,"&gt;0")+0.5*COUNTIF(F7:J7,0))</f>
        <v>0</v>
      </c>
      <c r="L6" s="12"/>
      <c r="M6" s="94">
        <v>5</v>
      </c>
    </row>
    <row r="7" spans="2:13" customFormat="1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-8</v>
      </c>
      <c r="G7" s="19" t="s">
        <v>5</v>
      </c>
      <c r="H7" s="12">
        <f ca="1">IF(LEN(INDIRECT(ADDRESS(ROW()-1, COLUMN())))=1,"",INDIRECT(ADDRESS(31,6))-INDIRECT(ADDRESS(31,7)))</f>
        <v>-5</v>
      </c>
      <c r="I7" s="12">
        <f ca="1">IF(LEN(INDIRECT(ADDRESS(ROW()-1, COLUMN())))=1,"",INDIRECT(ADDRESS(34,7))-INDIRECT(ADDRESS(34,6)))</f>
        <v>-6</v>
      </c>
      <c r="J7" s="13">
        <f ca="1">IF(LEN(INDIRECT(ADDRESS(ROW()-1, COLUMN())))=1,"",INDIRECT(ADDRESS(18,6))-INDIRECT(ADDRESS(18,7)))</f>
        <v>-7</v>
      </c>
      <c r="K7" s="93"/>
      <c r="L7" s="12">
        <f ca="1">IF(COUNT(F7:J7)=0,"",SUM(F7:J7))</f>
        <v>-26</v>
      </c>
      <c r="M7" s="94"/>
    </row>
    <row r="8" spans="2:13" customFormat="1" ht="21" x14ac:dyDescent="0.25">
      <c r="B8" s="64">
        <v>3</v>
      </c>
      <c r="C8" s="66" t="s">
        <v>114</v>
      </c>
      <c r="D8" s="67"/>
      <c r="E8" s="68"/>
      <c r="F8" s="14" t="str">
        <f ca="1">INDIRECT(ADDRESS(26,6))&amp;":"&amp;INDIRECT(ADDRESS(26,7))</f>
        <v>11:13</v>
      </c>
      <c r="G8" s="16" t="str">
        <f ca="1">INDIRECT(ADDRESS(31,7))&amp;":"&amp;INDIRECT(ADDRESS(31,6))</f>
        <v>13:8</v>
      </c>
      <c r="H8" s="15" t="s">
        <v>5</v>
      </c>
      <c r="I8" s="16" t="str">
        <f ca="1">INDIRECT(ADDRESS(19,6))&amp;":"&amp;INDIRECT(ADDRESS(19,7))</f>
        <v>11:12</v>
      </c>
      <c r="J8" s="17" t="str">
        <f ca="1">INDIRECT(ADDRESS(22,7))&amp;":"&amp;INDIRECT(ADDRESS(22,6))</f>
        <v>13:12</v>
      </c>
      <c r="K8" s="93">
        <f ca="1">IF(COUNT(F9:J9)=0,"",COUNTIF(F9:J9,"&gt;0")+0.5*COUNTIF(F9:J9,0))</f>
        <v>2</v>
      </c>
      <c r="L8" s="12"/>
      <c r="M8" s="94">
        <v>3</v>
      </c>
    </row>
    <row r="9" spans="2:13" customFormat="1" ht="21" x14ac:dyDescent="0.25">
      <c r="B9" s="76"/>
      <c r="C9" s="66"/>
      <c r="D9" s="67"/>
      <c r="E9" s="68"/>
      <c r="F9" s="18">
        <f ca="1">IF(LEN(INDIRECT(ADDRESS(ROW()-1, COLUMN())))=1,"",INDIRECT(ADDRESS(26,6))-INDIRECT(ADDRESS(26,7)))</f>
        <v>-2</v>
      </c>
      <c r="G9" s="12">
        <f ca="1">IF(LEN(INDIRECT(ADDRESS(ROW()-1, COLUMN())))=1,"",INDIRECT(ADDRESS(31,7))-INDIRECT(ADDRESS(31,6)))</f>
        <v>5</v>
      </c>
      <c r="H9" s="19" t="s">
        <v>5</v>
      </c>
      <c r="I9" s="12">
        <f ca="1">IF(LEN(INDIRECT(ADDRESS(ROW()-1, COLUMN())))=1,"",INDIRECT(ADDRESS(19,6))-INDIRECT(ADDRESS(19,7)))</f>
        <v>-1</v>
      </c>
      <c r="J9" s="13">
        <f ca="1">IF(LEN(INDIRECT(ADDRESS(ROW()-1, COLUMN())))=1,"",INDIRECT(ADDRESS(22,7))-INDIRECT(ADDRESS(22,6)))</f>
        <v>1</v>
      </c>
      <c r="K9" s="93"/>
      <c r="L9" s="12">
        <f ca="1">IF(COUNT(F9:J9)=0,"",SUM(F9:J9))</f>
        <v>3</v>
      </c>
      <c r="M9" s="94"/>
    </row>
    <row r="10" spans="2:13" customFormat="1" ht="21" x14ac:dyDescent="0.25">
      <c r="B10" s="64">
        <v>4</v>
      </c>
      <c r="C10" s="78" t="s">
        <v>116</v>
      </c>
      <c r="D10" s="79"/>
      <c r="E10" s="80"/>
      <c r="F10" s="14" t="str">
        <f ca="1">INDIRECT(ADDRESS(30,7))&amp;":"&amp;INDIRECT(ADDRESS(30,6))</f>
        <v>8:13</v>
      </c>
      <c r="G10" s="16" t="str">
        <f ca="1">INDIRECT(ADDRESS(34,6))&amp;":"&amp;INDIRECT(ADDRESS(34,7))</f>
        <v>13:7</v>
      </c>
      <c r="H10" s="16" t="str">
        <f ca="1">INDIRECT(ADDRESS(19,7))&amp;":"&amp;INDIRECT(ADDRESS(19,6))</f>
        <v>12:11</v>
      </c>
      <c r="I10" s="15" t="s">
        <v>5</v>
      </c>
      <c r="J10" s="17" t="str">
        <f ca="1">INDIRECT(ADDRESS(27,6))&amp;":"&amp;INDIRECT(ADDRESS(27,7))</f>
        <v>13:7</v>
      </c>
      <c r="K10" s="93">
        <f ca="1">IF(COUNT(F11:J11)=0,"",COUNTIF(F11:J11,"&gt;0")+0.5*COUNTIF(F11:J11,0))</f>
        <v>3</v>
      </c>
      <c r="L10" s="12"/>
      <c r="M10" s="94">
        <v>2</v>
      </c>
    </row>
    <row r="11" spans="2:13" customFormat="1" ht="21" x14ac:dyDescent="0.25">
      <c r="B11" s="76"/>
      <c r="C11" s="78"/>
      <c r="D11" s="79"/>
      <c r="E11" s="80"/>
      <c r="F11" s="18">
        <f ca="1">IF(LEN(INDIRECT(ADDRESS(ROW()-1, COLUMN())))=1,"",INDIRECT(ADDRESS(30,7))-INDIRECT(ADDRESS(30,6)))</f>
        <v>-5</v>
      </c>
      <c r="G11" s="12">
        <f ca="1">IF(LEN(INDIRECT(ADDRESS(ROW()-1, COLUMN())))=1,"",INDIRECT(ADDRESS(34,6))-INDIRECT(ADDRESS(34,7)))</f>
        <v>6</v>
      </c>
      <c r="H11" s="12">
        <f ca="1">IF(LEN(INDIRECT(ADDRESS(ROW()-1, COLUMN())))=1,"",INDIRECT(ADDRESS(19,7))-INDIRECT(ADDRESS(19,6)))</f>
        <v>1</v>
      </c>
      <c r="I11" s="19" t="s">
        <v>5</v>
      </c>
      <c r="J11" s="13">
        <f ca="1">IF(LEN(INDIRECT(ADDRESS(ROW()-1, COLUMN())))=1,"",INDIRECT(ADDRESS(27,6))-INDIRECT(ADDRESS(27,7)))</f>
        <v>6</v>
      </c>
      <c r="K11" s="93"/>
      <c r="L11" s="12">
        <f ca="1">IF(COUNT(F11:J11)=0,"",SUM(F11:J11))</f>
        <v>8</v>
      </c>
      <c r="M11" s="94"/>
    </row>
    <row r="12" spans="2:13" customFormat="1" ht="21" x14ac:dyDescent="0.25">
      <c r="B12" s="64">
        <v>5</v>
      </c>
      <c r="C12" s="66" t="s">
        <v>117</v>
      </c>
      <c r="D12" s="67"/>
      <c r="E12" s="68"/>
      <c r="F12" s="14" t="str">
        <f ca="1">INDIRECT(ADDRESS(35,6))&amp;":"&amp;INDIRECT(ADDRESS(35,7))</f>
        <v>13:4</v>
      </c>
      <c r="G12" s="16" t="str">
        <f ca="1">INDIRECT(ADDRESS(18,7))&amp;":"&amp;INDIRECT(ADDRESS(18,6))</f>
        <v>13:6</v>
      </c>
      <c r="H12" s="16" t="str">
        <f ca="1">INDIRECT(ADDRESS(22,6))&amp;":"&amp;INDIRECT(ADDRESS(22,7))</f>
        <v>12:13</v>
      </c>
      <c r="I12" s="16" t="str">
        <f ca="1">INDIRECT(ADDRESS(27,7))&amp;":"&amp;INDIRECT(ADDRESS(27,6))</f>
        <v>7:13</v>
      </c>
      <c r="J12" s="20" t="s">
        <v>5</v>
      </c>
      <c r="K12" s="93">
        <f ca="1">IF(COUNT(F13:J13)=0,"",COUNTIF(F13:J13,"&gt;0")+0.5*COUNTIF(F13:J13,0))</f>
        <v>2</v>
      </c>
      <c r="L12" s="12"/>
      <c r="M12" s="94">
        <v>4</v>
      </c>
    </row>
    <row r="13" spans="2:13" customFormat="1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9</v>
      </c>
      <c r="G13" s="22">
        <f ca="1">IF(LEN(INDIRECT(ADDRESS(ROW()-1, COLUMN())))=1,"",INDIRECT(ADDRESS(18,7))-INDIRECT(ADDRESS(18,6)))</f>
        <v>7</v>
      </c>
      <c r="H13" s="22">
        <f ca="1">IF(LEN(INDIRECT(ADDRESS(ROW()-1, COLUMN())))=1,"",INDIRECT(ADDRESS(22,6))-INDIRECT(ADDRESS(22,7)))</f>
        <v>-1</v>
      </c>
      <c r="I13" s="22">
        <f ca="1">IF(LEN(INDIRECT(ADDRESS(ROW()-1, COLUMN())))=1,"",INDIRECT(ADDRESS(27,7))-INDIRECT(ADDRESS(27,6)))</f>
        <v>-6</v>
      </c>
      <c r="J13" s="23" t="s">
        <v>5</v>
      </c>
      <c r="K13" s="95"/>
      <c r="L13" s="22">
        <f ca="1">IF(COUNT(F13:J13)=0,"",SUM(F13:J13))</f>
        <v>9</v>
      </c>
      <c r="M13" s="96"/>
    </row>
    <row r="14" spans="2:13" customFormat="1" x14ac:dyDescent="0.25"/>
    <row r="15" spans="2:13" customFormat="1" x14ac:dyDescent="0.25"/>
    <row r="16" spans="2:13" customFormat="1" x14ac:dyDescent="0.25"/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Тихомирова Елена</v>
      </c>
      <c r="D18" s="100"/>
      <c r="E18" s="101"/>
      <c r="F18" s="38">
        <v>6</v>
      </c>
      <c r="G18" s="39">
        <v>13</v>
      </c>
      <c r="H18" s="102" t="str">
        <f ca="1">IF(ISBLANK(INDIRECT(ADDRESS(K18*2+2,3))),"",INDIRECT(ADDRESS(K18*2+2,3)))</f>
        <v>Тюрина Елена</v>
      </c>
      <c r="I18" s="100"/>
      <c r="J18" s="100"/>
      <c r="K18" s="37">
        <v>5</v>
      </c>
      <c r="L18" s="40" t="s">
        <v>13</v>
      </c>
      <c r="M18" s="28">
        <v>1</v>
      </c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Хафизова Индира</v>
      </c>
      <c r="D19" s="100"/>
      <c r="E19" s="101"/>
      <c r="F19" s="38">
        <v>11</v>
      </c>
      <c r="G19" s="39">
        <v>12</v>
      </c>
      <c r="H19" s="102" t="str">
        <f ca="1">IF(ISBLANK(INDIRECT(ADDRESS(K19*2+2,3))),"",INDIRECT(ADDRESS(K19*2+2,3)))</f>
        <v>Полякова Оксана</v>
      </c>
      <c r="I19" s="100"/>
      <c r="J19" s="100"/>
      <c r="K19" s="37">
        <v>4</v>
      </c>
      <c r="L19" s="40" t="s">
        <v>13</v>
      </c>
      <c r="M19" s="28">
        <v>2</v>
      </c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Тюрина Елена</v>
      </c>
      <c r="D22" s="100"/>
      <c r="E22" s="101"/>
      <c r="F22" s="38">
        <v>12</v>
      </c>
      <c r="G22" s="39">
        <v>13</v>
      </c>
      <c r="H22" s="102" t="str">
        <f ca="1">IF(ISBLANK(INDIRECT(ADDRESS(K22*2+2,3))),"",INDIRECT(ADDRESS(K22*2+2,3)))</f>
        <v>Хафизова Индира</v>
      </c>
      <c r="I22" s="100"/>
      <c r="J22" s="100"/>
      <c r="K22" s="37">
        <v>3</v>
      </c>
      <c r="L22" s="40" t="s">
        <v>13</v>
      </c>
      <c r="M22" s="28">
        <v>3</v>
      </c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Зубова Наталья</v>
      </c>
      <c r="D23" s="100"/>
      <c r="E23" s="101"/>
      <c r="F23" s="38">
        <v>13</v>
      </c>
      <c r="G23" s="39">
        <v>5</v>
      </c>
      <c r="H23" s="102" t="str">
        <f ca="1">IF(ISBLANK(INDIRECT(ADDRESS(K23*2+2,3))),"",INDIRECT(ADDRESS(K23*2+2,3)))</f>
        <v>Тихомирова Елена</v>
      </c>
      <c r="I23" s="100"/>
      <c r="J23" s="100"/>
      <c r="K23" s="37">
        <v>2</v>
      </c>
      <c r="L23" s="40" t="s">
        <v>13</v>
      </c>
      <c r="M23" s="28">
        <v>4</v>
      </c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Хафизова Индира</v>
      </c>
      <c r="D26" s="100"/>
      <c r="E26" s="101"/>
      <c r="F26" s="38">
        <v>11</v>
      </c>
      <c r="G26" s="39">
        <v>13</v>
      </c>
      <c r="H26" s="102" t="str">
        <f ca="1">IF(ISBLANK(INDIRECT(ADDRESS(K26*2+2,3))),"",INDIRECT(ADDRESS(K26*2+2,3)))</f>
        <v>Зубова Наталья</v>
      </c>
      <c r="I26" s="100"/>
      <c r="J26" s="100"/>
      <c r="K26" s="37">
        <v>1</v>
      </c>
      <c r="L26" s="40" t="s">
        <v>13</v>
      </c>
      <c r="M26" s="28">
        <v>5</v>
      </c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Полякова Оксана</v>
      </c>
      <c r="D27" s="100"/>
      <c r="E27" s="101"/>
      <c r="F27" s="38">
        <v>13</v>
      </c>
      <c r="G27" s="39">
        <v>7</v>
      </c>
      <c r="H27" s="102" t="str">
        <f ca="1">IF(ISBLANK(INDIRECT(ADDRESS(K27*2+2,3))),"",INDIRECT(ADDRESS(K27*2+2,3)))</f>
        <v>Тюрина Елена</v>
      </c>
      <c r="I27" s="100"/>
      <c r="J27" s="100"/>
      <c r="K27" s="37">
        <v>5</v>
      </c>
      <c r="L27" s="40" t="s">
        <v>13</v>
      </c>
      <c r="M27" s="28">
        <v>6</v>
      </c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Зубова Наталья</v>
      </c>
      <c r="D30" s="100"/>
      <c r="E30" s="101"/>
      <c r="F30" s="38">
        <v>13</v>
      </c>
      <c r="G30" s="39">
        <v>8</v>
      </c>
      <c r="H30" s="102" t="str">
        <f ca="1">IF(ISBLANK(INDIRECT(ADDRESS(K30*2+2,3))),"",INDIRECT(ADDRESS(K30*2+2,3)))</f>
        <v>Полякова Оксана</v>
      </c>
      <c r="I30" s="100"/>
      <c r="J30" s="100"/>
      <c r="K30" s="37">
        <v>4</v>
      </c>
      <c r="L30" s="40" t="s">
        <v>13</v>
      </c>
      <c r="M30" s="28">
        <v>7</v>
      </c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Тихомирова Елена</v>
      </c>
      <c r="D31" s="100"/>
      <c r="E31" s="101"/>
      <c r="F31" s="38">
        <v>8</v>
      </c>
      <c r="G31" s="39">
        <v>13</v>
      </c>
      <c r="H31" s="102" t="str">
        <f ca="1">IF(ISBLANK(INDIRECT(ADDRESS(K31*2+2,3))),"",INDIRECT(ADDRESS(K31*2+2,3)))</f>
        <v>Хафизова Индира</v>
      </c>
      <c r="I31" s="100"/>
      <c r="J31" s="100"/>
      <c r="K31" s="37">
        <v>3</v>
      </c>
      <c r="L31" s="40" t="s">
        <v>13</v>
      </c>
      <c r="M31" s="28">
        <v>8</v>
      </c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Полякова Оксана</v>
      </c>
      <c r="D34" s="100"/>
      <c r="E34" s="101"/>
      <c r="F34" s="38">
        <v>13</v>
      </c>
      <c r="G34" s="39">
        <v>7</v>
      </c>
      <c r="H34" s="102" t="str">
        <f ca="1">IF(ISBLANK(INDIRECT(ADDRESS(K34*2+2,3))),"",INDIRECT(ADDRESS(K34*2+2,3)))</f>
        <v>Тихомирова Елена</v>
      </c>
      <c r="I34" s="100"/>
      <c r="J34" s="100"/>
      <c r="K34" s="37">
        <v>2</v>
      </c>
      <c r="L34" s="40" t="s">
        <v>13</v>
      </c>
      <c r="M34" s="28">
        <v>1</v>
      </c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Тюрина Елена</v>
      </c>
      <c r="D35" s="100"/>
      <c r="E35" s="101"/>
      <c r="F35" s="38">
        <v>13</v>
      </c>
      <c r="G35" s="39">
        <v>4</v>
      </c>
      <c r="H35" s="102" t="str">
        <f ca="1">IF(ISBLANK(INDIRECT(ADDRESS(K35*2+2,3))),"",INDIRECT(ADDRESS(K35*2+2,3)))</f>
        <v>Зубова Наталья</v>
      </c>
      <c r="I35" s="100"/>
      <c r="J35" s="100"/>
      <c r="K35" s="37">
        <v>1</v>
      </c>
      <c r="L35" s="40" t="s">
        <v>13</v>
      </c>
      <c r="M35" s="28">
        <v>2</v>
      </c>
    </row>
  </sheetData>
  <mergeCells count="47">
    <mergeCell ref="K4:K5"/>
    <mergeCell ref="M4:M5"/>
    <mergeCell ref="K6:K7"/>
    <mergeCell ref="M6:M7"/>
    <mergeCell ref="B1:K1"/>
    <mergeCell ref="C3:E3"/>
    <mergeCell ref="B4:B5"/>
    <mergeCell ref="C4:E5"/>
    <mergeCell ref="B6:B7"/>
    <mergeCell ref="C6:E7"/>
    <mergeCell ref="B8:B9"/>
    <mergeCell ref="C8:E9"/>
    <mergeCell ref="K8:K9"/>
    <mergeCell ref="M8:M9"/>
    <mergeCell ref="B10:B11"/>
    <mergeCell ref="C10:E11"/>
    <mergeCell ref="B12:B13"/>
    <mergeCell ref="C12:E13"/>
    <mergeCell ref="K10:K11"/>
    <mergeCell ref="M10:M11"/>
    <mergeCell ref="K12:K13"/>
    <mergeCell ref="M12:M13"/>
    <mergeCell ref="B17:K17"/>
    <mergeCell ref="C18:E18"/>
    <mergeCell ref="H18:J18"/>
    <mergeCell ref="C19:E19"/>
    <mergeCell ref="H19:J19"/>
    <mergeCell ref="B21:K21"/>
    <mergeCell ref="C23:E23"/>
    <mergeCell ref="H23:J23"/>
    <mergeCell ref="B25:K25"/>
    <mergeCell ref="C22:E22"/>
    <mergeCell ref="H22:J22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1:E31"/>
    <mergeCell ref="H31:J31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B1" sqref="B1:N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8" ht="59.25" customHeight="1" x14ac:dyDescent="0.25">
      <c r="B1" s="84" t="s">
        <v>18</v>
      </c>
      <c r="C1" s="84"/>
      <c r="D1" s="84"/>
      <c r="E1" s="84"/>
      <c r="F1" s="84"/>
      <c r="G1" s="84"/>
      <c r="H1" s="84"/>
      <c r="I1" s="84"/>
      <c r="J1" s="84"/>
      <c r="K1" s="84"/>
      <c r="L1" t="s">
        <v>19</v>
      </c>
      <c r="M1" t="s">
        <v>20</v>
      </c>
      <c r="N1" s="30">
        <v>45305</v>
      </c>
    </row>
    <row r="2" spans="2:18" ht="15.75" thickBot="1" x14ac:dyDescent="0.3"/>
    <row r="3" spans="2:18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8" ht="24" customHeight="1" x14ac:dyDescent="0.25">
      <c r="B4" s="88">
        <v>1</v>
      </c>
      <c r="C4" s="89" t="s">
        <v>4</v>
      </c>
      <c r="D4" s="90"/>
      <c r="E4" s="91"/>
      <c r="F4" s="7" t="s">
        <v>5</v>
      </c>
      <c r="G4" s="8" t="str">
        <f ca="1">INDIRECT(ADDRESS(27,6))&amp;":"&amp;INDIRECT(ADDRESS(27,7))</f>
        <v>13:10</v>
      </c>
      <c r="H4" s="8" t="str">
        <f ca="1">INDIRECT(ADDRESS(31,7))&amp;":"&amp;INDIRECT(ADDRESS(31,6))</f>
        <v>13:4</v>
      </c>
      <c r="I4" s="8" t="str">
        <f ca="1">INDIRECT(ADDRESS(36,6))&amp;":"&amp;INDIRECT(ADDRESS(36,7))</f>
        <v>13:7</v>
      </c>
      <c r="J4" s="8" t="str">
        <f ca="1">INDIRECT(ADDRESS(42,7))&amp;":"&amp;INDIRECT(ADDRESS(42,6))</f>
        <v>13:10</v>
      </c>
      <c r="K4" s="9" t="str">
        <f ca="1">INDIRECT(ADDRESS(20,6))&amp;":"&amp;INDIRECT(ADDRESS(20,7))</f>
        <v>13:1</v>
      </c>
      <c r="L4" s="92">
        <f ca="1">IF(COUNT(F5:K5)=0,"",COUNTIF(F5:K5,"&gt;0")+0.5*COUNTIF(F5:K5,0))</f>
        <v>5</v>
      </c>
      <c r="M4" s="10"/>
      <c r="N4" s="83">
        <v>1</v>
      </c>
    </row>
    <row r="5" spans="2:18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3</v>
      </c>
      <c r="H5" s="12">
        <f ca="1">IF(LEN(INDIRECT(ADDRESS(ROW()-1, COLUMN())))=1,"",INDIRECT(ADDRESS(31,7))-INDIRECT(ADDRESS(31,6)))</f>
        <v>9</v>
      </c>
      <c r="I5" s="12">
        <f ca="1">IF(LEN(INDIRECT(ADDRESS(ROW()-1, COLUMN())))=1,"",INDIRECT(ADDRESS(36,6))-INDIRECT(ADDRESS(36,7)))</f>
        <v>6</v>
      </c>
      <c r="J5" s="12">
        <f ca="1">IF(LEN(INDIRECT(ADDRESS(ROW()-1, COLUMN())))=1,"",INDIRECT(ADDRESS(42,7))-INDIRECT(ADDRESS(42,6)))</f>
        <v>3</v>
      </c>
      <c r="K5" s="13">
        <f ca="1">IF(LEN(INDIRECT(ADDRESS(ROW()-1, COLUMN())))=1,"",INDIRECT(ADDRESS(20,6))-INDIRECT(ADDRESS(20,7)))</f>
        <v>12</v>
      </c>
      <c r="L5" s="72"/>
      <c r="M5" s="12">
        <f ca="1">IF(COUNT(F5:K5)=0,"",SUM(F5:K5))</f>
        <v>33</v>
      </c>
      <c r="N5" s="82"/>
    </row>
    <row r="6" spans="2:18" ht="24" customHeight="1" x14ac:dyDescent="0.25">
      <c r="B6" s="64">
        <v>2</v>
      </c>
      <c r="C6" s="66" t="s">
        <v>6</v>
      </c>
      <c r="D6" s="67"/>
      <c r="E6" s="68"/>
      <c r="F6" s="14" t="str">
        <f ca="1">INDIRECT(ADDRESS(27,7))&amp;":"&amp;INDIRECT(ADDRESS(27,6))</f>
        <v>10:13</v>
      </c>
      <c r="G6" s="15" t="s">
        <v>5</v>
      </c>
      <c r="H6" s="16" t="str">
        <f ca="1">INDIRECT(ADDRESS(37,6))&amp;":"&amp;INDIRECT(ADDRESS(37,7))</f>
        <v>12:13</v>
      </c>
      <c r="I6" s="16" t="str">
        <f ca="1">INDIRECT(ADDRESS(41,7))&amp;":"&amp;INDIRECT(ADDRESS(41,6))</f>
        <v>13:2</v>
      </c>
      <c r="J6" s="16" t="str">
        <f ca="1">INDIRECT(ADDRESS(21,6))&amp;":"&amp;INDIRECT(ADDRESS(21,7))</f>
        <v>13:11</v>
      </c>
      <c r="K6" s="17" t="str">
        <f ca="1">INDIRECT(ADDRESS(30,6))&amp;":"&amp;INDIRECT(ADDRESS(30,7))</f>
        <v>13:8</v>
      </c>
      <c r="L6" s="72">
        <f ca="1">IF(COUNT(F7:K7)=0,"",COUNTIF(F7:K7,"&gt;0")+0.5*COUNTIF(F7:K7,0))</f>
        <v>3</v>
      </c>
      <c r="M6" s="12"/>
      <c r="N6" s="74">
        <v>3</v>
      </c>
    </row>
    <row r="7" spans="2:18" ht="24" customHeight="1" x14ac:dyDescent="0.25">
      <c r="B7" s="76"/>
      <c r="C7" s="66"/>
      <c r="D7" s="67"/>
      <c r="E7" s="68"/>
      <c r="F7" s="18">
        <f ca="1">IF(LEN(INDIRECT(ADDRESS(ROW()-1, COLUMN())))=1,"",INDIRECT(ADDRESS(27,7))-INDIRECT(ADDRESS(27,6)))</f>
        <v>-3</v>
      </c>
      <c r="G7" s="19" t="s">
        <v>5</v>
      </c>
      <c r="H7" s="12">
        <f ca="1">IF(LEN(INDIRECT(ADDRESS(ROW()-1, COLUMN())))=1,"",INDIRECT(ADDRESS(37,6))-INDIRECT(ADDRESS(37,7)))</f>
        <v>-1</v>
      </c>
      <c r="I7" s="12">
        <f ca="1">IF(LEN(INDIRECT(ADDRESS(ROW()-1, COLUMN())))=1,"",INDIRECT(ADDRESS(41,7))-INDIRECT(ADDRESS(41,6)))</f>
        <v>11</v>
      </c>
      <c r="J7" s="12">
        <f ca="1">IF(LEN(INDIRECT(ADDRESS(ROW()-1, COLUMN())))=1,"",INDIRECT(ADDRESS(21,6))-INDIRECT(ADDRESS(21,7)))</f>
        <v>2</v>
      </c>
      <c r="K7" s="13">
        <f ca="1">IF(LEN(INDIRECT(ADDRESS(ROW()-1, COLUMN())))=1,"",INDIRECT(ADDRESS(30,6))-INDIRECT(ADDRESS(30,7)))</f>
        <v>5</v>
      </c>
      <c r="L7" s="72"/>
      <c r="M7" s="12">
        <f ca="1">IF(COUNT(F7:K7)=0,"",SUM(F7:K7))</f>
        <v>14</v>
      </c>
      <c r="N7" s="77"/>
    </row>
    <row r="8" spans="2:18" ht="24" customHeight="1" x14ac:dyDescent="0.25">
      <c r="B8" s="64">
        <v>3</v>
      </c>
      <c r="C8" s="78" t="s">
        <v>7</v>
      </c>
      <c r="D8" s="79"/>
      <c r="E8" s="80"/>
      <c r="F8" s="14" t="str">
        <f ca="1">INDIRECT(ADDRESS(31,6))&amp;":"&amp;INDIRECT(ADDRESS(31,7))</f>
        <v>4:13</v>
      </c>
      <c r="G8" s="16" t="str">
        <f ca="1">INDIRECT(ADDRESS(37,7))&amp;":"&amp;INDIRECT(ADDRESS(37,6))</f>
        <v>13:12</v>
      </c>
      <c r="H8" s="15" t="s">
        <v>5</v>
      </c>
      <c r="I8" s="16" t="str">
        <f ca="1">INDIRECT(ADDRESS(22,6))&amp;":"&amp;INDIRECT(ADDRESS(22,7))</f>
        <v>13:7</v>
      </c>
      <c r="J8" s="16" t="str">
        <f ca="1">INDIRECT(ADDRESS(26,7))&amp;":"&amp;INDIRECT(ADDRESS(26,6))</f>
        <v>12:8</v>
      </c>
      <c r="K8" s="17" t="str">
        <f ca="1">INDIRECT(ADDRESS(40,6))&amp;":"&amp;INDIRECT(ADDRESS(40,7))</f>
        <v>13:5</v>
      </c>
      <c r="L8" s="72">
        <f ca="1">IF(COUNT(F9:K9)=0,"",COUNTIF(F9:K9,"&gt;0")+0.5*COUNTIF(F9:K9,0))</f>
        <v>4</v>
      </c>
      <c r="M8" s="12"/>
      <c r="N8" s="81">
        <v>2</v>
      </c>
    </row>
    <row r="9" spans="2:18" ht="24" customHeight="1" x14ac:dyDescent="0.25">
      <c r="B9" s="76"/>
      <c r="C9" s="78"/>
      <c r="D9" s="79"/>
      <c r="E9" s="80"/>
      <c r="F9" s="18">
        <f ca="1">IF(LEN(INDIRECT(ADDRESS(ROW()-1, COLUMN())))=1,"",INDIRECT(ADDRESS(31,6))-INDIRECT(ADDRESS(31,7)))</f>
        <v>-9</v>
      </c>
      <c r="G9" s="12">
        <f ca="1">IF(LEN(INDIRECT(ADDRESS(ROW()-1, COLUMN())))=1,"",INDIRECT(ADDRESS(37,7))-INDIRECT(ADDRESS(37,6)))</f>
        <v>1</v>
      </c>
      <c r="H9" s="19" t="s">
        <v>5</v>
      </c>
      <c r="I9" s="12">
        <f ca="1">IF(LEN(INDIRECT(ADDRESS(ROW()-1, COLUMN())))=1,"",INDIRECT(ADDRESS(22,6))-INDIRECT(ADDRESS(22,7)))</f>
        <v>6</v>
      </c>
      <c r="J9" s="12">
        <f ca="1">IF(LEN(INDIRECT(ADDRESS(ROW()-1, COLUMN())))=1,"",INDIRECT(ADDRESS(26,7))-INDIRECT(ADDRESS(26,6)))</f>
        <v>4</v>
      </c>
      <c r="K9" s="13">
        <f ca="1">IF(LEN(INDIRECT(ADDRESS(ROW()-1, COLUMN())))=1,"",INDIRECT(ADDRESS(40,6))-INDIRECT(ADDRESS(40,7)))</f>
        <v>8</v>
      </c>
      <c r="L9" s="72"/>
      <c r="M9" s="12">
        <f ca="1">IF(COUNT(F9:K9)=0,"",SUM(F9:K9))</f>
        <v>10</v>
      </c>
      <c r="N9" s="82"/>
    </row>
    <row r="10" spans="2:18" ht="24" customHeight="1" x14ac:dyDescent="0.25">
      <c r="B10" s="64">
        <v>4</v>
      </c>
      <c r="C10" s="66" t="s">
        <v>8</v>
      </c>
      <c r="D10" s="67"/>
      <c r="E10" s="68"/>
      <c r="F10" s="14" t="str">
        <f ca="1">INDIRECT(ADDRESS(36,7))&amp;":"&amp;INDIRECT(ADDRESS(36,6))</f>
        <v>7:13</v>
      </c>
      <c r="G10" s="16" t="str">
        <f ca="1">INDIRECT(ADDRESS(41,6))&amp;":"&amp;INDIRECT(ADDRESS(41,7))</f>
        <v>2:13</v>
      </c>
      <c r="H10" s="16" t="str">
        <f ca="1">INDIRECT(ADDRESS(22,7))&amp;":"&amp;INDIRECT(ADDRESS(22,6))</f>
        <v>7:13</v>
      </c>
      <c r="I10" s="15" t="s">
        <v>5</v>
      </c>
      <c r="J10" s="16" t="str">
        <f ca="1">INDIRECT(ADDRESS(32,6))&amp;":"&amp;INDIRECT(ADDRESS(32,7))</f>
        <v>4:13</v>
      </c>
      <c r="K10" s="17" t="str">
        <f ca="1">INDIRECT(ADDRESS(25,7))&amp;":"&amp;INDIRECT(ADDRESS(25,6))</f>
        <v>13:9</v>
      </c>
      <c r="L10" s="72">
        <f ca="1">IF(COUNT(F11:K11)=0,"",COUNTIF(F11:K11,"&gt;0")+0.5*COUNTIF(F11:K11,0))</f>
        <v>1</v>
      </c>
      <c r="M10" s="12"/>
      <c r="N10" s="74">
        <v>6</v>
      </c>
      <c r="R10" t="s">
        <v>9</v>
      </c>
    </row>
    <row r="11" spans="2:18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-6</v>
      </c>
      <c r="G11" s="12">
        <f ca="1">IF(LEN(INDIRECT(ADDRESS(ROW()-1, COLUMN())))=1,"",INDIRECT(ADDRESS(41,6))-INDIRECT(ADDRESS(41,7)))</f>
        <v>-11</v>
      </c>
      <c r="H11" s="12">
        <f ca="1">IF(LEN(INDIRECT(ADDRESS(ROW()-1, COLUMN())))=1,"",INDIRECT(ADDRESS(22,7))-INDIRECT(ADDRESS(22,6)))</f>
        <v>-6</v>
      </c>
      <c r="I11" s="19" t="s">
        <v>5</v>
      </c>
      <c r="J11" s="12">
        <f ca="1">IF(LEN(INDIRECT(ADDRESS(ROW()-1, COLUMN())))=1,"",INDIRECT(ADDRESS(32,6))-INDIRECT(ADDRESS(32,7)))</f>
        <v>-9</v>
      </c>
      <c r="K11" s="13">
        <f ca="1">IF(LEN(INDIRECT(ADDRESS(ROW()-1, COLUMN())))=1,"",INDIRECT(ADDRESS(25,7))-INDIRECT(ADDRESS(25,6)))</f>
        <v>4</v>
      </c>
      <c r="L11" s="72"/>
      <c r="M11" s="12">
        <f ca="1">IF(COUNT(F11:K11)=0,"",SUM(F11:K11))</f>
        <v>-28</v>
      </c>
      <c r="N11" s="77"/>
    </row>
    <row r="12" spans="2:18" ht="24" customHeight="1" x14ac:dyDescent="0.25">
      <c r="B12" s="64">
        <v>5</v>
      </c>
      <c r="C12" s="66" t="s">
        <v>10</v>
      </c>
      <c r="D12" s="67"/>
      <c r="E12" s="68"/>
      <c r="F12" s="14" t="str">
        <f ca="1">INDIRECT(ADDRESS(42,6))&amp;":"&amp;INDIRECT(ADDRESS(42,7))</f>
        <v>10:13</v>
      </c>
      <c r="G12" s="16" t="str">
        <f ca="1">INDIRECT(ADDRESS(21,7))&amp;":"&amp;INDIRECT(ADDRESS(21,6))</f>
        <v>11:13</v>
      </c>
      <c r="H12" s="16" t="str">
        <f ca="1">INDIRECT(ADDRESS(26,6))&amp;":"&amp;INDIRECT(ADDRESS(26,7))</f>
        <v>8:12</v>
      </c>
      <c r="I12" s="16" t="str">
        <f ca="1">INDIRECT(ADDRESS(32,7))&amp;":"&amp;INDIRECT(ADDRESS(32,6))</f>
        <v>13:4</v>
      </c>
      <c r="J12" s="15" t="s">
        <v>5</v>
      </c>
      <c r="K12" s="17" t="str">
        <f ca="1">INDIRECT(ADDRESS(35,7))&amp;":"&amp;INDIRECT(ADDRESS(35,6))</f>
        <v>9:13</v>
      </c>
      <c r="L12" s="72">
        <f ca="1">IF(COUNT(F13:K13)=0,"",COUNTIF(F13:K13,"&gt;0")+0.5*COUNTIF(F13:K13,0))</f>
        <v>1</v>
      </c>
      <c r="M12" s="12"/>
      <c r="N12" s="74">
        <v>4</v>
      </c>
    </row>
    <row r="13" spans="2:18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-3</v>
      </c>
      <c r="G13" s="12">
        <f ca="1">IF(LEN(INDIRECT(ADDRESS(ROW()-1, COLUMN())))=1,"",INDIRECT(ADDRESS(21,7))-INDIRECT(ADDRESS(21,6)))</f>
        <v>-2</v>
      </c>
      <c r="H13" s="12">
        <f ca="1">IF(LEN(INDIRECT(ADDRESS(ROW()-1, COLUMN())))=1,"",INDIRECT(ADDRESS(26,6))-INDIRECT(ADDRESS(26,7)))</f>
        <v>-4</v>
      </c>
      <c r="I13" s="12">
        <f ca="1">IF(LEN(INDIRECT(ADDRESS(ROW()-1, COLUMN())))=1,"",INDIRECT(ADDRESS(32,7))-INDIRECT(ADDRESS(32,6)))</f>
        <v>9</v>
      </c>
      <c r="J13" s="19" t="s">
        <v>5</v>
      </c>
      <c r="K13" s="13">
        <f ca="1">IF(LEN(INDIRECT(ADDRESS(ROW()-1, COLUMN())))=1,"",INDIRECT(ADDRESS(35,7))-INDIRECT(ADDRESS(35,6)))</f>
        <v>-4</v>
      </c>
      <c r="L13" s="72"/>
      <c r="M13" s="12">
        <f ca="1">IF(COUNT(F13:K13)=0,"",SUM(F13:K13))</f>
        <v>-4</v>
      </c>
      <c r="N13" s="77"/>
    </row>
    <row r="14" spans="2:18" ht="24" customHeight="1" x14ac:dyDescent="0.25">
      <c r="B14" s="64">
        <v>6</v>
      </c>
      <c r="C14" s="66" t="s">
        <v>11</v>
      </c>
      <c r="D14" s="67"/>
      <c r="E14" s="68"/>
      <c r="F14" s="14" t="str">
        <f ca="1">INDIRECT(ADDRESS(20,7))&amp;":"&amp;INDIRECT(ADDRESS(20,6))</f>
        <v>1:13</v>
      </c>
      <c r="G14" s="16" t="str">
        <f ca="1">INDIRECT(ADDRESS(30,7))&amp;":"&amp;INDIRECT(ADDRESS(30,6))</f>
        <v>8:13</v>
      </c>
      <c r="H14" s="16" t="str">
        <f ca="1">INDIRECT(ADDRESS(40,7))&amp;":"&amp;INDIRECT(ADDRESS(40,6))</f>
        <v>5:13</v>
      </c>
      <c r="I14" s="16" t="str">
        <f ca="1">INDIRECT(ADDRESS(25,6))&amp;":"&amp;INDIRECT(ADDRESS(25,7))</f>
        <v>9:13</v>
      </c>
      <c r="J14" s="16" t="str">
        <f ca="1">INDIRECT(ADDRESS(35,6))&amp;":"&amp;INDIRECT(ADDRESS(35,7))</f>
        <v>13:9</v>
      </c>
      <c r="K14" s="20" t="s">
        <v>5</v>
      </c>
      <c r="L14" s="72">
        <f ca="1">IF(COUNT(F15:K15)=0,"",COUNTIF(F15:K15,"&gt;0")+0.5*COUNTIF(F15:K15,0))</f>
        <v>1</v>
      </c>
      <c r="M14" s="12"/>
      <c r="N14" s="74">
        <v>5</v>
      </c>
    </row>
    <row r="15" spans="2:18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-12</v>
      </c>
      <c r="G15" s="22">
        <f ca="1">IF(LEN(INDIRECT(ADDRESS(ROW()-1, COLUMN())))=1,"",INDIRECT(ADDRESS(30,7))-INDIRECT(ADDRESS(30,6)))</f>
        <v>-5</v>
      </c>
      <c r="H15" s="22">
        <f ca="1">IF(LEN(INDIRECT(ADDRESS(ROW()-1, COLUMN())))=1,"",INDIRECT(ADDRESS(40,7))-INDIRECT(ADDRESS(40,6)))</f>
        <v>-8</v>
      </c>
      <c r="I15" s="22">
        <f ca="1">IF(LEN(INDIRECT(ADDRESS(ROW()-1, COLUMN())))=1,"",INDIRECT(ADDRESS(25,6))-INDIRECT(ADDRESS(25,7)))</f>
        <v>-4</v>
      </c>
      <c r="J15" s="22">
        <f ca="1">IF(LEN(INDIRECT(ADDRESS(ROW()-1, COLUMN())))=1,"",INDIRECT(ADDRESS(35,6))-INDIRECT(ADDRESS(35,7)))</f>
        <v>4</v>
      </c>
      <c r="K15" s="23" t="s">
        <v>5</v>
      </c>
      <c r="L15" s="73"/>
      <c r="M15" s="22">
        <f ca="1">IF(COUNT(F15:K15)=0,"",SUM(F15:K15))</f>
        <v>-25</v>
      </c>
      <c r="N15" s="75"/>
    </row>
    <row r="19" spans="2:13" ht="30" customHeight="1" thickBot="1" x14ac:dyDescent="0.3"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2:13" ht="30" customHeight="1" thickBot="1" x14ac:dyDescent="0.3">
      <c r="B20" s="24">
        <v>1</v>
      </c>
      <c r="C20" s="60" t="str">
        <f ca="1">IF(ISBLANK(INDIRECT(ADDRESS(B20*2+2,3))),"",INDIRECT(ADDRESS(B20*2+2,3)))</f>
        <v>Африканов</v>
      </c>
      <c r="D20" s="60"/>
      <c r="E20" s="61"/>
      <c r="F20" s="25">
        <v>13</v>
      </c>
      <c r="G20" s="26">
        <v>1</v>
      </c>
      <c r="H20" s="62" t="str">
        <f ca="1">IF(ISBLANK(INDIRECT(ADDRESS(K20*2+2,3))),"",INDIRECT(ADDRESS(K20*2+2,3)))</f>
        <v>Фальковский</v>
      </c>
      <c r="I20" s="60"/>
      <c r="J20" s="60"/>
      <c r="K20" s="24">
        <v>6</v>
      </c>
      <c r="L20" s="27" t="s">
        <v>13</v>
      </c>
      <c r="M20" s="28">
        <v>1</v>
      </c>
    </row>
    <row r="21" spans="2:13" ht="30" customHeight="1" thickBot="1" x14ac:dyDescent="0.3">
      <c r="B21" s="24">
        <v>2</v>
      </c>
      <c r="C21" s="60" t="str">
        <f ca="1">IF(ISBLANK(INDIRECT(ADDRESS(B21*2+2,3))),"",INDIRECT(ADDRESS(B21*2+2,3)))</f>
        <v>Кувакин</v>
      </c>
      <c r="D21" s="60"/>
      <c r="E21" s="61"/>
      <c r="F21" s="25">
        <v>13</v>
      </c>
      <c r="G21" s="26">
        <v>11</v>
      </c>
      <c r="H21" s="62" t="str">
        <f ca="1">IF(ISBLANK(INDIRECT(ADDRESS(K21*2+2,3))),"",INDIRECT(ADDRESS(K21*2+2,3)))</f>
        <v>Домбровский</v>
      </c>
      <c r="I21" s="60"/>
      <c r="J21" s="60"/>
      <c r="K21" s="24">
        <v>5</v>
      </c>
      <c r="L21" s="27" t="s">
        <v>13</v>
      </c>
      <c r="M21" s="28">
        <v>2</v>
      </c>
    </row>
    <row r="22" spans="2:13" ht="30" customHeight="1" thickBot="1" x14ac:dyDescent="0.3">
      <c r="B22" s="24">
        <v>3</v>
      </c>
      <c r="C22" s="60" t="str">
        <f ca="1">IF(ISBLANK(INDIRECT(ADDRESS(B22*2+2,3))),"",INDIRECT(ADDRESS(B22*2+2,3)))</f>
        <v>Мишин</v>
      </c>
      <c r="D22" s="60"/>
      <c r="E22" s="61"/>
      <c r="F22" s="25">
        <v>13</v>
      </c>
      <c r="G22" s="26">
        <v>7</v>
      </c>
      <c r="H22" s="62" t="str">
        <f ca="1">IF(ISBLANK(INDIRECT(ADDRESS(K22*2+2,3))),"",INDIRECT(ADDRESS(K22*2+2,3)))</f>
        <v>Сафонов</v>
      </c>
      <c r="I22" s="60"/>
      <c r="J22" s="60"/>
      <c r="K22" s="24">
        <v>4</v>
      </c>
      <c r="L22" s="27" t="s">
        <v>13</v>
      </c>
      <c r="M22" s="28">
        <v>3</v>
      </c>
    </row>
    <row r="23" spans="2:13" ht="30" customHeight="1" x14ac:dyDescent="0.35">
      <c r="M23" s="29"/>
    </row>
    <row r="24" spans="2:13" ht="30" customHeight="1" thickBot="1" x14ac:dyDescent="0.4"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2:13" ht="30" customHeight="1" thickBot="1" x14ac:dyDescent="0.3">
      <c r="B25" s="24">
        <v>6</v>
      </c>
      <c r="C25" s="60" t="str">
        <f ca="1">IF(ISBLANK(INDIRECT(ADDRESS(B25*2+2,3))),"",INDIRECT(ADDRESS(B25*2+2,3)))</f>
        <v>Фальковский</v>
      </c>
      <c r="D25" s="60"/>
      <c r="E25" s="61"/>
      <c r="F25" s="25">
        <v>9</v>
      </c>
      <c r="G25" s="26">
        <v>13</v>
      </c>
      <c r="H25" s="62" t="str">
        <f ca="1">IF(ISBLANK(INDIRECT(ADDRESS(K25*2+2,3))),"",INDIRECT(ADDRESS(K25*2+2,3)))</f>
        <v>Сафонов</v>
      </c>
      <c r="I25" s="60"/>
      <c r="J25" s="60"/>
      <c r="K25" s="24">
        <v>4</v>
      </c>
      <c r="L25" s="27" t="s">
        <v>13</v>
      </c>
      <c r="M25" s="28">
        <v>2</v>
      </c>
    </row>
    <row r="26" spans="2:13" ht="30" customHeight="1" thickBot="1" x14ac:dyDescent="0.3">
      <c r="B26" s="24">
        <v>5</v>
      </c>
      <c r="C26" s="60" t="str">
        <f ca="1">IF(ISBLANK(INDIRECT(ADDRESS(B26*2+2,3))),"",INDIRECT(ADDRESS(B26*2+2,3)))</f>
        <v>Домбровский</v>
      </c>
      <c r="D26" s="60"/>
      <c r="E26" s="61"/>
      <c r="F26" s="25">
        <v>8</v>
      </c>
      <c r="G26" s="26">
        <v>12</v>
      </c>
      <c r="H26" s="62" t="str">
        <f ca="1">IF(ISBLANK(INDIRECT(ADDRESS(K26*2+2,3))),"",INDIRECT(ADDRESS(K26*2+2,3)))</f>
        <v>Мишин</v>
      </c>
      <c r="I26" s="60"/>
      <c r="J26" s="60"/>
      <c r="K26" s="24">
        <v>3</v>
      </c>
      <c r="L26" s="27" t="s">
        <v>13</v>
      </c>
      <c r="M26" s="28">
        <v>1</v>
      </c>
    </row>
    <row r="27" spans="2:13" ht="30" customHeight="1" thickBot="1" x14ac:dyDescent="0.3">
      <c r="B27" s="24">
        <v>1</v>
      </c>
      <c r="C27" s="60" t="str">
        <f ca="1">IF(ISBLANK(INDIRECT(ADDRESS(B27*2+2,3))),"",INDIRECT(ADDRESS(B27*2+2,3)))</f>
        <v>Африканов</v>
      </c>
      <c r="D27" s="60"/>
      <c r="E27" s="61"/>
      <c r="F27" s="25">
        <v>13</v>
      </c>
      <c r="G27" s="26">
        <v>10</v>
      </c>
      <c r="H27" s="62" t="str">
        <f ca="1">IF(ISBLANK(INDIRECT(ADDRESS(K27*2+2,3))),"",INDIRECT(ADDRESS(K27*2+2,3)))</f>
        <v>Кувакин</v>
      </c>
      <c r="I27" s="60"/>
      <c r="J27" s="60"/>
      <c r="K27" s="24">
        <v>2</v>
      </c>
      <c r="L27" s="27" t="s">
        <v>13</v>
      </c>
      <c r="M27" s="28">
        <v>4</v>
      </c>
    </row>
    <row r="28" spans="2:13" ht="30" customHeight="1" x14ac:dyDescent="0.35">
      <c r="M28" s="29"/>
    </row>
    <row r="29" spans="2:13" ht="30" customHeight="1" thickBot="1" x14ac:dyDescent="0.4"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2:13" ht="30" customHeight="1" thickBot="1" x14ac:dyDescent="0.3">
      <c r="B30" s="24">
        <v>2</v>
      </c>
      <c r="C30" s="60" t="str">
        <f ca="1">IF(ISBLANK(INDIRECT(ADDRESS(B30*2+2,3))),"",INDIRECT(ADDRESS(B30*2+2,3)))</f>
        <v>Кувакин</v>
      </c>
      <c r="D30" s="60"/>
      <c r="E30" s="61"/>
      <c r="F30" s="25">
        <v>13</v>
      </c>
      <c r="G30" s="26">
        <v>8</v>
      </c>
      <c r="H30" s="62" t="str">
        <f ca="1">IF(ISBLANK(INDIRECT(ADDRESS(K30*2+2,3))),"",INDIRECT(ADDRESS(K30*2+2,3)))</f>
        <v>Фальковский</v>
      </c>
      <c r="I30" s="60"/>
      <c r="J30" s="60"/>
      <c r="K30" s="24">
        <v>6</v>
      </c>
      <c r="L30" s="27" t="s">
        <v>13</v>
      </c>
      <c r="M30" s="28">
        <v>3</v>
      </c>
    </row>
    <row r="31" spans="2:13" ht="30" customHeight="1" thickBot="1" x14ac:dyDescent="0.3">
      <c r="B31" s="24">
        <v>3</v>
      </c>
      <c r="C31" s="60" t="str">
        <f ca="1">IF(ISBLANK(INDIRECT(ADDRESS(B31*2+2,3))),"",INDIRECT(ADDRESS(B31*2+2,3)))</f>
        <v>Мишин</v>
      </c>
      <c r="D31" s="60"/>
      <c r="E31" s="61"/>
      <c r="F31" s="25">
        <v>4</v>
      </c>
      <c r="G31" s="26">
        <v>13</v>
      </c>
      <c r="H31" s="62" t="str">
        <f ca="1">IF(ISBLANK(INDIRECT(ADDRESS(K31*2+2,3))),"",INDIRECT(ADDRESS(K31*2+2,3)))</f>
        <v>Африканов</v>
      </c>
      <c r="I31" s="60"/>
      <c r="J31" s="60"/>
      <c r="K31" s="24">
        <v>1</v>
      </c>
      <c r="L31" s="27" t="s">
        <v>13</v>
      </c>
      <c r="M31" s="28">
        <v>2</v>
      </c>
    </row>
    <row r="32" spans="2:13" ht="30" customHeight="1" thickBot="1" x14ac:dyDescent="0.3">
      <c r="B32" s="24">
        <v>4</v>
      </c>
      <c r="C32" s="60" t="str">
        <f ca="1">IF(ISBLANK(INDIRECT(ADDRESS(B32*2+2,3))),"",INDIRECT(ADDRESS(B32*2+2,3)))</f>
        <v>Сафонов</v>
      </c>
      <c r="D32" s="60"/>
      <c r="E32" s="61"/>
      <c r="F32" s="25">
        <v>4</v>
      </c>
      <c r="G32" s="26">
        <v>13</v>
      </c>
      <c r="H32" s="62" t="str">
        <f ca="1">IF(ISBLANK(INDIRECT(ADDRESS(K32*2+2,3))),"",INDIRECT(ADDRESS(K32*2+2,3)))</f>
        <v>Домбровский</v>
      </c>
      <c r="I32" s="60"/>
      <c r="J32" s="60"/>
      <c r="K32" s="24">
        <v>5</v>
      </c>
      <c r="L32" s="27" t="s">
        <v>13</v>
      </c>
      <c r="M32" s="28">
        <v>4</v>
      </c>
    </row>
    <row r="33" spans="2:13" ht="30" customHeight="1" x14ac:dyDescent="0.35">
      <c r="M33" s="29"/>
    </row>
    <row r="34" spans="2:13" ht="30" customHeight="1" thickBot="1" x14ac:dyDescent="0.4"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2:13" ht="30" customHeight="1" thickBot="1" x14ac:dyDescent="0.3">
      <c r="B35" s="24">
        <v>6</v>
      </c>
      <c r="C35" s="60" t="str">
        <f ca="1">IF(ISBLANK(INDIRECT(ADDRESS(B35*2+2,3))),"",INDIRECT(ADDRESS(B35*2+2,3)))</f>
        <v>Фальковский</v>
      </c>
      <c r="D35" s="60"/>
      <c r="E35" s="61"/>
      <c r="F35" s="25">
        <v>13</v>
      </c>
      <c r="G35" s="26">
        <v>9</v>
      </c>
      <c r="H35" s="62" t="str">
        <f ca="1">IF(ISBLANK(INDIRECT(ADDRESS(K35*2+2,3))),"",INDIRECT(ADDRESS(K35*2+2,3)))</f>
        <v>Домбровский</v>
      </c>
      <c r="I35" s="60"/>
      <c r="J35" s="60"/>
      <c r="K35" s="24">
        <v>5</v>
      </c>
      <c r="L35" s="27" t="s">
        <v>13</v>
      </c>
      <c r="M35" s="28">
        <v>1</v>
      </c>
    </row>
    <row r="36" spans="2:13" ht="30" customHeight="1" thickBot="1" x14ac:dyDescent="0.3">
      <c r="B36" s="24">
        <v>1</v>
      </c>
      <c r="C36" s="60" t="str">
        <f ca="1">IF(ISBLANK(INDIRECT(ADDRESS(B36*2+2,3))),"",INDIRECT(ADDRESS(B36*2+2,3)))</f>
        <v>Африканов</v>
      </c>
      <c r="D36" s="60"/>
      <c r="E36" s="61"/>
      <c r="F36" s="25">
        <v>13</v>
      </c>
      <c r="G36" s="26">
        <v>7</v>
      </c>
      <c r="H36" s="62" t="str">
        <f ca="1">IF(ISBLANK(INDIRECT(ADDRESS(K36*2+2,3))),"",INDIRECT(ADDRESS(K36*2+2,3)))</f>
        <v>Сафонов</v>
      </c>
      <c r="I36" s="60"/>
      <c r="J36" s="60"/>
      <c r="K36" s="24">
        <v>4</v>
      </c>
      <c r="L36" s="27" t="s">
        <v>13</v>
      </c>
      <c r="M36" s="28">
        <v>3</v>
      </c>
    </row>
    <row r="37" spans="2:13" ht="30" customHeight="1" thickBot="1" x14ac:dyDescent="0.3">
      <c r="B37" s="24">
        <v>2</v>
      </c>
      <c r="C37" s="60" t="str">
        <f ca="1">IF(ISBLANK(INDIRECT(ADDRESS(B37*2+2,3))),"",INDIRECT(ADDRESS(B37*2+2,3)))</f>
        <v>Кувакин</v>
      </c>
      <c r="D37" s="60"/>
      <c r="E37" s="61"/>
      <c r="F37" s="25">
        <v>12</v>
      </c>
      <c r="G37" s="26">
        <v>13</v>
      </c>
      <c r="H37" s="62" t="str">
        <f ca="1">IF(ISBLANK(INDIRECT(ADDRESS(K37*2+2,3))),"",INDIRECT(ADDRESS(K37*2+2,3)))</f>
        <v>Мишин</v>
      </c>
      <c r="I37" s="60"/>
      <c r="J37" s="60"/>
      <c r="K37" s="24">
        <v>3</v>
      </c>
      <c r="L37" s="27" t="s">
        <v>13</v>
      </c>
      <c r="M37" s="28">
        <v>4</v>
      </c>
    </row>
    <row r="38" spans="2:13" ht="30" customHeight="1" x14ac:dyDescent="0.35">
      <c r="M38" s="29"/>
    </row>
    <row r="39" spans="2:13" ht="30" customHeight="1" thickBot="1" x14ac:dyDescent="0.4"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2:13" ht="30" customHeight="1" thickBot="1" x14ac:dyDescent="0.3">
      <c r="B40" s="24">
        <v>3</v>
      </c>
      <c r="C40" s="60" t="str">
        <f ca="1">IF(ISBLANK(INDIRECT(ADDRESS(B40*2+2,3))),"",INDIRECT(ADDRESS(B40*2+2,3)))</f>
        <v>Мишин</v>
      </c>
      <c r="D40" s="60"/>
      <c r="E40" s="61"/>
      <c r="F40" s="25">
        <v>13</v>
      </c>
      <c r="G40" s="26">
        <v>5</v>
      </c>
      <c r="H40" s="62" t="str">
        <f ca="1">IF(ISBLANK(INDIRECT(ADDRESS(K40*2+2,3))),"",INDIRECT(ADDRESS(K40*2+2,3)))</f>
        <v>Фальковский</v>
      </c>
      <c r="I40" s="60"/>
      <c r="J40" s="60"/>
      <c r="K40" s="24">
        <v>6</v>
      </c>
      <c r="L40" s="27" t="s">
        <v>13</v>
      </c>
      <c r="M40" s="28">
        <v>2</v>
      </c>
    </row>
    <row r="41" spans="2:13" ht="30" customHeight="1" thickBot="1" x14ac:dyDescent="0.3">
      <c r="B41" s="24">
        <v>4</v>
      </c>
      <c r="C41" s="60" t="str">
        <f ca="1">IF(ISBLANK(INDIRECT(ADDRESS(B41*2+2,3))),"",INDIRECT(ADDRESS(B41*2+2,3)))</f>
        <v>Сафонов</v>
      </c>
      <c r="D41" s="60"/>
      <c r="E41" s="61"/>
      <c r="F41" s="25">
        <v>2</v>
      </c>
      <c r="G41" s="26">
        <v>13</v>
      </c>
      <c r="H41" s="62" t="str">
        <f ca="1">IF(ISBLANK(INDIRECT(ADDRESS(K41*2+2,3))),"",INDIRECT(ADDRESS(K41*2+2,3)))</f>
        <v>Кувакин</v>
      </c>
      <c r="I41" s="60"/>
      <c r="J41" s="60"/>
      <c r="K41" s="24">
        <v>2</v>
      </c>
      <c r="L41" s="27" t="s">
        <v>13</v>
      </c>
      <c r="M41" s="28">
        <v>1</v>
      </c>
    </row>
    <row r="42" spans="2:13" ht="30" customHeight="1" thickBot="1" x14ac:dyDescent="0.3">
      <c r="B42" s="24">
        <v>5</v>
      </c>
      <c r="C42" s="60" t="str">
        <f ca="1">IF(ISBLANK(INDIRECT(ADDRESS(B42*2+2,3))),"",INDIRECT(ADDRESS(B42*2+2,3)))</f>
        <v>Домбровский</v>
      </c>
      <c r="D42" s="60"/>
      <c r="E42" s="61"/>
      <c r="F42" s="25">
        <v>10</v>
      </c>
      <c r="G42" s="26">
        <v>13</v>
      </c>
      <c r="H42" s="62" t="str">
        <f ca="1">IF(ISBLANK(INDIRECT(ADDRESS(K42*2+2,3))),"",INDIRECT(ADDRESS(K42*2+2,3)))</f>
        <v>Африканов</v>
      </c>
      <c r="I42" s="60"/>
      <c r="J42" s="60"/>
      <c r="K42" s="24">
        <v>1</v>
      </c>
      <c r="L42" s="27" t="s">
        <v>13</v>
      </c>
      <c r="M42" s="28">
        <v>4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N17" sqref="N17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customFormat="1" ht="31.5" x14ac:dyDescent="0.25">
      <c r="B1" s="126" t="s">
        <v>140</v>
      </c>
      <c r="C1" s="126"/>
      <c r="D1" s="126"/>
      <c r="E1" s="126"/>
      <c r="F1" s="126"/>
      <c r="G1" s="126"/>
      <c r="H1" s="126"/>
      <c r="I1" s="126"/>
      <c r="J1" s="126"/>
      <c r="K1" s="126"/>
      <c r="L1" t="s">
        <v>88</v>
      </c>
      <c r="M1" s="30">
        <v>45312</v>
      </c>
    </row>
    <row r="2" spans="2:13" customFormat="1" ht="15.75" thickBot="1" x14ac:dyDescent="0.3"/>
    <row r="3" spans="2:13" customFormat="1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customFormat="1" ht="21" x14ac:dyDescent="0.25">
      <c r="B4" s="88">
        <v>1</v>
      </c>
      <c r="C4" s="89" t="s">
        <v>141</v>
      </c>
      <c r="D4" s="90"/>
      <c r="E4" s="91"/>
      <c r="F4" s="7" t="s">
        <v>5</v>
      </c>
      <c r="G4" s="8" t="str">
        <f ca="1">INDIRECT(ADDRESS(23,6))&amp;":"&amp;INDIRECT(ADDRESS(23,7))</f>
        <v>13:6</v>
      </c>
      <c r="H4" s="8" t="str">
        <f ca="1">INDIRECT(ADDRESS(26,7))&amp;":"&amp;INDIRECT(ADDRESS(26,6))</f>
        <v>11:9</v>
      </c>
      <c r="I4" s="8" t="str">
        <f ca="1">INDIRECT(ADDRESS(30,6))&amp;":"&amp;INDIRECT(ADDRESS(30,7))</f>
        <v>10:9</v>
      </c>
      <c r="J4" s="9" t="str">
        <f ca="1">INDIRECT(ADDRESS(35,7))&amp;":"&amp;INDIRECT(ADDRESS(35,6))</f>
        <v>11:9</v>
      </c>
      <c r="K4" s="99">
        <f ca="1">IF(COUNT(F5:J5)=0,"",COUNTIF(F5:J5,"&gt;0")+0.5*COUNTIF(F5:J5,0))</f>
        <v>4</v>
      </c>
      <c r="L4" s="10"/>
      <c r="M4" s="103">
        <v>1</v>
      </c>
    </row>
    <row r="5" spans="2:13" customFormat="1" ht="2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COLUMN())))=1,"",INDIRECT(ADDRESS(23,6))-INDIRECT(ADDRESS(23,7)))</f>
        <v>7</v>
      </c>
      <c r="H5" s="12">
        <f ca="1">IF(LEN(INDIRECT(ADDRESS(ROW()-1, COLUMN())))=1,"",INDIRECT(ADDRESS(26,7))-INDIRECT(ADDRESS(26,6)))</f>
        <v>2</v>
      </c>
      <c r="I5" s="12">
        <f ca="1">IF(LEN(INDIRECT(ADDRESS(ROW()-1, COLUMN())))=1,"",INDIRECT(ADDRESS(30,6))-INDIRECT(ADDRESS(30,7)))</f>
        <v>1</v>
      </c>
      <c r="J5" s="13">
        <f ca="1">IF(LEN(INDIRECT(ADDRESS(ROW()-1, COLUMN())))=1,"",INDIRECT(ADDRESS(35,7))-INDIRECT(ADDRESS(35,6)))</f>
        <v>2</v>
      </c>
      <c r="K5" s="93"/>
      <c r="L5" s="12">
        <f ca="1">IF(COUNT(F5:J5)=0,"",SUM(F5:J5))</f>
        <v>12</v>
      </c>
      <c r="M5" s="94"/>
    </row>
    <row r="6" spans="2:13" customFormat="1" ht="21" x14ac:dyDescent="0.25">
      <c r="B6" s="64">
        <v>2</v>
      </c>
      <c r="C6" s="78" t="s">
        <v>142</v>
      </c>
      <c r="D6" s="79"/>
      <c r="E6" s="80"/>
      <c r="F6" s="14" t="str">
        <f ca="1">INDIRECT(ADDRESS(23,7))&amp;":"&amp;INDIRECT(ADDRESS(23,6))</f>
        <v>6:13</v>
      </c>
      <c r="G6" s="15" t="s">
        <v>5</v>
      </c>
      <c r="H6" s="16" t="str">
        <f ca="1">INDIRECT(ADDRESS(31,6))&amp;":"&amp;INDIRECT(ADDRESS(31,7))</f>
        <v>13:5</v>
      </c>
      <c r="I6" s="16" t="str">
        <f ca="1">INDIRECT(ADDRESS(34,7))&amp;":"&amp;INDIRECT(ADDRESS(34,6))</f>
        <v>13:11</v>
      </c>
      <c r="J6" s="17" t="str">
        <f ca="1">INDIRECT(ADDRESS(18,6))&amp;":"&amp;INDIRECT(ADDRESS(18,7))</f>
        <v>7:13</v>
      </c>
      <c r="K6" s="93">
        <f ca="1">IF(COUNT(F7:J7)=0,"",COUNTIF(F7:J7,"&gt;0")+0.5*COUNTIF(F7:J7,0))</f>
        <v>2</v>
      </c>
      <c r="L6" s="12"/>
      <c r="M6" s="94">
        <v>2</v>
      </c>
    </row>
    <row r="7" spans="2:13" customFormat="1" ht="21" x14ac:dyDescent="0.25">
      <c r="B7" s="76"/>
      <c r="C7" s="78"/>
      <c r="D7" s="79"/>
      <c r="E7" s="80"/>
      <c r="F7" s="18">
        <f ca="1">IF(LEN(INDIRECT(ADDRESS(ROW()-1, COLUMN())))=1,"",INDIRECT(ADDRESS(23,7))-INDIRECT(ADDRESS(23,6)))</f>
        <v>-7</v>
      </c>
      <c r="G7" s="19" t="s">
        <v>5</v>
      </c>
      <c r="H7" s="12">
        <f ca="1">IF(LEN(INDIRECT(ADDRESS(ROW()-1, COLUMN())))=1,"",INDIRECT(ADDRESS(31,6))-INDIRECT(ADDRESS(31,7)))</f>
        <v>8</v>
      </c>
      <c r="I7" s="12">
        <f ca="1">IF(LEN(INDIRECT(ADDRESS(ROW()-1, COLUMN())))=1,"",INDIRECT(ADDRESS(34,7))-INDIRECT(ADDRESS(34,6)))</f>
        <v>2</v>
      </c>
      <c r="J7" s="13">
        <f ca="1">IF(LEN(INDIRECT(ADDRESS(ROW()-1, COLUMN())))=1,"",INDIRECT(ADDRESS(18,6))-INDIRECT(ADDRESS(18,7)))</f>
        <v>-6</v>
      </c>
      <c r="K7" s="93"/>
      <c r="L7" s="12">
        <f ca="1">IF(COUNT(F7:J7)=0,"",SUM(F7:J7))</f>
        <v>-3</v>
      </c>
      <c r="M7" s="94"/>
    </row>
    <row r="8" spans="2:13" customFormat="1" ht="21" x14ac:dyDescent="0.25">
      <c r="B8" s="64">
        <v>3</v>
      </c>
      <c r="C8" s="66" t="s">
        <v>143</v>
      </c>
      <c r="D8" s="67"/>
      <c r="E8" s="68"/>
      <c r="F8" s="14" t="str">
        <f ca="1">INDIRECT(ADDRESS(26,6))&amp;":"&amp;INDIRECT(ADDRESS(26,7))</f>
        <v>9:11</v>
      </c>
      <c r="G8" s="16" t="str">
        <f ca="1">INDIRECT(ADDRESS(31,7))&amp;":"&amp;INDIRECT(ADDRESS(31,6))</f>
        <v>5:13</v>
      </c>
      <c r="H8" s="15" t="s">
        <v>5</v>
      </c>
      <c r="I8" s="16" t="str">
        <f ca="1">INDIRECT(ADDRESS(19,6))&amp;":"&amp;INDIRECT(ADDRESS(19,7))</f>
        <v>5:13</v>
      </c>
      <c r="J8" s="17" t="str">
        <f ca="1">INDIRECT(ADDRESS(22,7))&amp;":"&amp;INDIRECT(ADDRESS(22,6))</f>
        <v>13:11</v>
      </c>
      <c r="K8" s="93">
        <f ca="1">IF(COUNT(F9:J9)=0,"",COUNTIF(F9:J9,"&gt;0")+0.5*COUNTIF(F9:J9,0))</f>
        <v>1</v>
      </c>
      <c r="L8" s="12"/>
      <c r="M8" s="94">
        <v>4</v>
      </c>
    </row>
    <row r="9" spans="2:13" customFormat="1" ht="21" x14ac:dyDescent="0.25">
      <c r="B9" s="76"/>
      <c r="C9" s="66"/>
      <c r="D9" s="67"/>
      <c r="E9" s="68"/>
      <c r="F9" s="18">
        <f ca="1">IF(LEN(INDIRECT(ADDRESS(ROW()-1, COLUMN())))=1,"",INDIRECT(ADDRESS(26,6))-INDIRECT(ADDRESS(26,7)))</f>
        <v>-2</v>
      </c>
      <c r="G9" s="12">
        <f ca="1">IF(LEN(INDIRECT(ADDRESS(ROW()-1, COLUMN())))=1,"",INDIRECT(ADDRESS(31,7))-INDIRECT(ADDRESS(31,6)))</f>
        <v>-8</v>
      </c>
      <c r="H9" s="19" t="s">
        <v>5</v>
      </c>
      <c r="I9" s="12">
        <f ca="1">IF(LEN(INDIRECT(ADDRESS(ROW()-1, COLUMN())))=1,"",INDIRECT(ADDRESS(19,6))-INDIRECT(ADDRESS(19,7)))</f>
        <v>-8</v>
      </c>
      <c r="J9" s="13">
        <f ca="1">IF(LEN(INDIRECT(ADDRESS(ROW()-1, COLUMN())))=1,"",INDIRECT(ADDRESS(22,7))-INDIRECT(ADDRESS(22,6)))</f>
        <v>2</v>
      </c>
      <c r="K9" s="93"/>
      <c r="L9" s="12">
        <f ca="1">IF(COUNT(F9:J9)=0,"",SUM(F9:J9))</f>
        <v>-16</v>
      </c>
      <c r="M9" s="94"/>
    </row>
    <row r="10" spans="2:13" customFormat="1" ht="21" x14ac:dyDescent="0.25">
      <c r="B10" s="64">
        <v>4</v>
      </c>
      <c r="C10" s="66" t="s">
        <v>144</v>
      </c>
      <c r="D10" s="67"/>
      <c r="E10" s="68"/>
      <c r="F10" s="14" t="str">
        <f ca="1">INDIRECT(ADDRESS(30,7))&amp;":"&amp;INDIRECT(ADDRESS(30,6))</f>
        <v>9:10</v>
      </c>
      <c r="G10" s="16" t="str">
        <f ca="1">INDIRECT(ADDRESS(34,6))&amp;":"&amp;INDIRECT(ADDRESS(34,7))</f>
        <v>11:13</v>
      </c>
      <c r="H10" s="16" t="str">
        <f ca="1">INDIRECT(ADDRESS(19,7))&amp;":"&amp;INDIRECT(ADDRESS(19,6))</f>
        <v>13:5</v>
      </c>
      <c r="I10" s="15" t="s">
        <v>5</v>
      </c>
      <c r="J10" s="17" t="str">
        <f ca="1">INDIRECT(ADDRESS(27,6))&amp;":"&amp;INDIRECT(ADDRESS(27,7))</f>
        <v>13:8</v>
      </c>
      <c r="K10" s="93">
        <f ca="1">IF(COUNT(F11:J11)=0,"",COUNTIF(F11:J11,"&gt;0")+0.5*COUNTIF(F11:J11,0))</f>
        <v>2</v>
      </c>
      <c r="L10" s="12"/>
      <c r="M10" s="94">
        <v>3</v>
      </c>
    </row>
    <row r="11" spans="2:13" customFormat="1" ht="21" x14ac:dyDescent="0.25">
      <c r="B11" s="76"/>
      <c r="C11" s="66"/>
      <c r="D11" s="67"/>
      <c r="E11" s="68"/>
      <c r="F11" s="18">
        <f ca="1">IF(LEN(INDIRECT(ADDRESS(ROW()-1, COLUMN())))=1,"",INDIRECT(ADDRESS(30,7))-INDIRECT(ADDRESS(30,6)))</f>
        <v>-1</v>
      </c>
      <c r="G11" s="12">
        <f ca="1">IF(LEN(INDIRECT(ADDRESS(ROW()-1, COLUMN())))=1,"",INDIRECT(ADDRESS(34,6))-INDIRECT(ADDRESS(34,7)))</f>
        <v>-2</v>
      </c>
      <c r="H11" s="12">
        <f ca="1">IF(LEN(INDIRECT(ADDRESS(ROW()-1, COLUMN())))=1,"",INDIRECT(ADDRESS(19,7))-INDIRECT(ADDRESS(19,6)))</f>
        <v>8</v>
      </c>
      <c r="I11" s="19" t="s">
        <v>5</v>
      </c>
      <c r="J11" s="13">
        <f ca="1">IF(LEN(INDIRECT(ADDRESS(ROW()-1, COLUMN())))=1,"",INDIRECT(ADDRESS(27,6))-INDIRECT(ADDRESS(27,7)))</f>
        <v>5</v>
      </c>
      <c r="K11" s="93"/>
      <c r="L11" s="12">
        <f ca="1">IF(COUNT(F11:J11)=0,"",SUM(F11:J11))</f>
        <v>10</v>
      </c>
      <c r="M11" s="94"/>
    </row>
    <row r="12" spans="2:13" customFormat="1" ht="21" x14ac:dyDescent="0.25">
      <c r="B12" s="64">
        <v>5</v>
      </c>
      <c r="C12" s="66" t="s">
        <v>145</v>
      </c>
      <c r="D12" s="67"/>
      <c r="E12" s="68"/>
      <c r="F12" s="14" t="str">
        <f ca="1">INDIRECT(ADDRESS(35,6))&amp;":"&amp;INDIRECT(ADDRESS(35,7))</f>
        <v>9:11</v>
      </c>
      <c r="G12" s="16" t="str">
        <f ca="1">INDIRECT(ADDRESS(18,7))&amp;":"&amp;INDIRECT(ADDRESS(18,6))</f>
        <v>13:7</v>
      </c>
      <c r="H12" s="16" t="str">
        <f ca="1">INDIRECT(ADDRESS(22,6))&amp;":"&amp;INDIRECT(ADDRESS(22,7))</f>
        <v>11:13</v>
      </c>
      <c r="I12" s="16" t="str">
        <f ca="1">INDIRECT(ADDRESS(27,7))&amp;":"&amp;INDIRECT(ADDRESS(27,6))</f>
        <v>8:13</v>
      </c>
      <c r="J12" s="20" t="s">
        <v>5</v>
      </c>
      <c r="K12" s="93">
        <f ca="1">IF(COUNT(F13:J13)=0,"",COUNTIF(F13:J13,"&gt;0")+0.5*COUNTIF(F13:J13,0))</f>
        <v>1</v>
      </c>
      <c r="L12" s="12"/>
      <c r="M12" s="94">
        <v>5</v>
      </c>
    </row>
    <row r="13" spans="2:13" customFormat="1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-2</v>
      </c>
      <c r="G13" s="22">
        <f ca="1">IF(LEN(INDIRECT(ADDRESS(ROW()-1, COLUMN())))=1,"",INDIRECT(ADDRESS(18,7))-INDIRECT(ADDRESS(18,6)))</f>
        <v>6</v>
      </c>
      <c r="H13" s="22">
        <f ca="1">IF(LEN(INDIRECT(ADDRESS(ROW()-1, COLUMN())))=1,"",INDIRECT(ADDRESS(22,6))-INDIRECT(ADDRESS(22,7)))</f>
        <v>-2</v>
      </c>
      <c r="I13" s="22">
        <f ca="1">IF(LEN(INDIRECT(ADDRESS(ROW()-1, COLUMN())))=1,"",INDIRECT(ADDRESS(27,7))-INDIRECT(ADDRESS(27,6)))</f>
        <v>-5</v>
      </c>
      <c r="J13" s="23" t="s">
        <v>5</v>
      </c>
      <c r="K13" s="95"/>
      <c r="L13" s="22">
        <f ca="1">IF(COUNT(F13:J13)=0,"",SUM(F13:J13))</f>
        <v>-3</v>
      </c>
      <c r="M13" s="96"/>
    </row>
    <row r="14" spans="2:13" customFormat="1" x14ac:dyDescent="0.25"/>
    <row r="15" spans="2:13" customFormat="1" x14ac:dyDescent="0.25"/>
    <row r="16" spans="2:13" customFormat="1" x14ac:dyDescent="0.25"/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Трушина Надежда</v>
      </c>
      <c r="D18" s="100"/>
      <c r="E18" s="101"/>
      <c r="F18" s="38">
        <v>7</v>
      </c>
      <c r="G18" s="39">
        <v>13</v>
      </c>
      <c r="H18" s="102" t="str">
        <f ca="1">IF(ISBLANK(INDIRECT(ADDRESS(K18*2+2,3))),"",INDIRECT(ADDRESS(K18*2+2,3)))</f>
        <v>Воробьева Лиза</v>
      </c>
      <c r="I18" s="100"/>
      <c r="J18" s="100"/>
      <c r="K18" s="37">
        <v>5</v>
      </c>
      <c r="L18" s="40" t="s">
        <v>13</v>
      </c>
      <c r="M18" s="28">
        <v>5</v>
      </c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Мурашова Елена</v>
      </c>
      <c r="D19" s="100"/>
      <c r="E19" s="101"/>
      <c r="F19" s="38">
        <v>5</v>
      </c>
      <c r="G19" s="39">
        <v>13</v>
      </c>
      <c r="H19" s="102" t="str">
        <f ca="1">IF(ISBLANK(INDIRECT(ADDRESS(K19*2+2,3))),"",INDIRECT(ADDRESS(K19*2+2,3)))</f>
        <v>Грачанац Наталья</v>
      </c>
      <c r="I19" s="100"/>
      <c r="J19" s="100"/>
      <c r="K19" s="37">
        <v>4</v>
      </c>
      <c r="L19" s="40" t="s">
        <v>13</v>
      </c>
      <c r="M19" s="28">
        <v>6</v>
      </c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Воробьева Лиза</v>
      </c>
      <c r="D22" s="100"/>
      <c r="E22" s="101"/>
      <c r="F22" s="38">
        <v>11</v>
      </c>
      <c r="G22" s="39">
        <v>13</v>
      </c>
      <c r="H22" s="102" t="str">
        <f ca="1">IF(ISBLANK(INDIRECT(ADDRESS(K22*2+2,3))),"",INDIRECT(ADDRESS(K22*2+2,3)))</f>
        <v>Мурашова Елена</v>
      </c>
      <c r="I22" s="100"/>
      <c r="J22" s="100"/>
      <c r="K22" s="37">
        <v>3</v>
      </c>
      <c r="L22" s="40" t="s">
        <v>13</v>
      </c>
      <c r="M22" s="28">
        <v>7</v>
      </c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Лукьянова Ирина</v>
      </c>
      <c r="D23" s="100"/>
      <c r="E23" s="101"/>
      <c r="F23" s="38">
        <v>13</v>
      </c>
      <c r="G23" s="39">
        <v>6</v>
      </c>
      <c r="H23" s="102" t="str">
        <f ca="1">IF(ISBLANK(INDIRECT(ADDRESS(K23*2+2,3))),"",INDIRECT(ADDRESS(K23*2+2,3)))</f>
        <v>Трушина Надежда</v>
      </c>
      <c r="I23" s="100"/>
      <c r="J23" s="100"/>
      <c r="K23" s="37">
        <v>2</v>
      </c>
      <c r="L23" s="40" t="s">
        <v>13</v>
      </c>
      <c r="M23" s="28">
        <v>8</v>
      </c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Мурашова Елена</v>
      </c>
      <c r="D26" s="100"/>
      <c r="E26" s="101"/>
      <c r="F26" s="38">
        <v>9</v>
      </c>
      <c r="G26" s="39">
        <v>11</v>
      </c>
      <c r="H26" s="102" t="str">
        <f ca="1">IF(ISBLANK(INDIRECT(ADDRESS(K26*2+2,3))),"",INDIRECT(ADDRESS(K26*2+2,3)))</f>
        <v>Лукьянова Ирина</v>
      </c>
      <c r="I26" s="100"/>
      <c r="J26" s="100"/>
      <c r="K26" s="37">
        <v>1</v>
      </c>
      <c r="L26" s="40" t="s">
        <v>13</v>
      </c>
      <c r="M26" s="28">
        <v>3</v>
      </c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Грачанац Наталья</v>
      </c>
      <c r="D27" s="100"/>
      <c r="E27" s="101"/>
      <c r="F27" s="38">
        <v>13</v>
      </c>
      <c r="G27" s="39">
        <v>8</v>
      </c>
      <c r="H27" s="102" t="str">
        <f ca="1">IF(ISBLANK(INDIRECT(ADDRESS(K27*2+2,3))),"",INDIRECT(ADDRESS(K27*2+2,3)))</f>
        <v>Воробьева Лиза</v>
      </c>
      <c r="I27" s="100"/>
      <c r="J27" s="100"/>
      <c r="K27" s="37">
        <v>5</v>
      </c>
      <c r="L27" s="40" t="s">
        <v>13</v>
      </c>
      <c r="M27" s="28">
        <v>4</v>
      </c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Лукьянова Ирина</v>
      </c>
      <c r="D30" s="100"/>
      <c r="E30" s="101"/>
      <c r="F30" s="38">
        <v>10</v>
      </c>
      <c r="G30" s="39">
        <v>9</v>
      </c>
      <c r="H30" s="102" t="str">
        <f ca="1">IF(ISBLANK(INDIRECT(ADDRESS(K30*2+2,3))),"",INDIRECT(ADDRESS(K30*2+2,3)))</f>
        <v>Грачанац Наталья</v>
      </c>
      <c r="I30" s="100"/>
      <c r="J30" s="100"/>
      <c r="K30" s="37">
        <v>4</v>
      </c>
      <c r="L30" s="40" t="s">
        <v>13</v>
      </c>
      <c r="M30" s="28">
        <v>5</v>
      </c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Трушина Надежда</v>
      </c>
      <c r="D31" s="100"/>
      <c r="E31" s="101"/>
      <c r="F31" s="38">
        <v>13</v>
      </c>
      <c r="G31" s="39">
        <v>5</v>
      </c>
      <c r="H31" s="102" t="str">
        <f ca="1">IF(ISBLANK(INDIRECT(ADDRESS(K31*2+2,3))),"",INDIRECT(ADDRESS(K31*2+2,3)))</f>
        <v>Мурашова Елена</v>
      </c>
      <c r="I31" s="100"/>
      <c r="J31" s="100"/>
      <c r="K31" s="37">
        <v>3</v>
      </c>
      <c r="L31" s="40" t="s">
        <v>13</v>
      </c>
      <c r="M31" s="28">
        <v>6</v>
      </c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Грачанац Наталья</v>
      </c>
      <c r="D34" s="100"/>
      <c r="E34" s="101"/>
      <c r="F34" s="38">
        <v>11</v>
      </c>
      <c r="G34" s="39">
        <v>13</v>
      </c>
      <c r="H34" s="102" t="str">
        <f ca="1">IF(ISBLANK(INDIRECT(ADDRESS(K34*2+2,3))),"",INDIRECT(ADDRESS(K34*2+2,3)))</f>
        <v>Трушина Надежда</v>
      </c>
      <c r="I34" s="100"/>
      <c r="J34" s="100"/>
      <c r="K34" s="37">
        <v>2</v>
      </c>
      <c r="L34" s="40" t="s">
        <v>13</v>
      </c>
      <c r="M34" s="28">
        <v>1</v>
      </c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Воробьева Лиза</v>
      </c>
      <c r="D35" s="100"/>
      <c r="E35" s="101"/>
      <c r="F35" s="38">
        <v>9</v>
      </c>
      <c r="G35" s="39">
        <v>11</v>
      </c>
      <c r="H35" s="102" t="str">
        <f ca="1">IF(ISBLANK(INDIRECT(ADDRESS(K35*2+2,3))),"",INDIRECT(ADDRESS(K35*2+2,3)))</f>
        <v>Лукьянова Ирина</v>
      </c>
      <c r="I35" s="100"/>
      <c r="J35" s="100"/>
      <c r="K35" s="37">
        <v>1</v>
      </c>
      <c r="L35" s="40" t="s">
        <v>13</v>
      </c>
      <c r="M35" s="28">
        <v>2</v>
      </c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P16" sqref="P16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126" t="s">
        <v>127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89" t="s">
        <v>134</v>
      </c>
      <c r="D4" s="90"/>
      <c r="E4" s="91"/>
      <c r="F4" s="7" t="s">
        <v>5</v>
      </c>
      <c r="G4" s="8" t="str">
        <f ca="1">INDIRECT(ADDRESS(27,6))&amp;":"&amp;INDIRECT(ADDRESS(27,7))</f>
        <v>13:7</v>
      </c>
      <c r="H4" s="8" t="str">
        <f ca="1">INDIRECT(ADDRESS(31,7))&amp;":"&amp;INDIRECT(ADDRESS(31,6))</f>
        <v>13:8</v>
      </c>
      <c r="I4" s="8" t="str">
        <f ca="1">INDIRECT(ADDRESS(36,6))&amp;":"&amp;INDIRECT(ADDRESS(36,7))</f>
        <v>13:1</v>
      </c>
      <c r="J4" s="8" t="str">
        <f ca="1">INDIRECT(ADDRESS(42,7))&amp;":"&amp;INDIRECT(ADDRESS(42,6))</f>
        <v>13:12</v>
      </c>
      <c r="K4" s="9" t="str">
        <f ca="1">INDIRECT(ADDRESS(20,6))&amp;":"&amp;INDIRECT(ADDRESS(20,7))</f>
        <v>13:6</v>
      </c>
      <c r="L4" s="92">
        <f ca="1">IF(COUNT(F5:K5)=0,"",COUNTIF(F5:K5,"&gt;0")+0.5*COUNTIF(F5:K5,0))</f>
        <v>5</v>
      </c>
      <c r="M4" s="10"/>
      <c r="N4" s="121">
        <v>1</v>
      </c>
    </row>
    <row r="5" spans="2:14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6</v>
      </c>
      <c r="H5" s="12">
        <f ca="1">IF(LEN(INDIRECT(ADDRESS(ROW()-1, COLUMN())))=1,"",INDIRECT(ADDRESS(31,7))-INDIRECT(ADDRESS(31,6)))</f>
        <v>5</v>
      </c>
      <c r="I5" s="12">
        <f ca="1">IF(LEN(INDIRECT(ADDRESS(ROW()-1, COLUMN())))=1,"",INDIRECT(ADDRESS(36,6))-INDIRECT(ADDRESS(36,7)))</f>
        <v>12</v>
      </c>
      <c r="J5" s="12">
        <f ca="1">IF(LEN(INDIRECT(ADDRESS(ROW()-1, COLUMN())))=1,"",INDIRECT(ADDRESS(42,7))-INDIRECT(ADDRESS(42,6)))</f>
        <v>1</v>
      </c>
      <c r="K5" s="13">
        <f ca="1">IF(LEN(INDIRECT(ADDRESS(ROW()-1, COLUMN())))=1,"",INDIRECT(ADDRESS(20,6))-INDIRECT(ADDRESS(20,7)))</f>
        <v>7</v>
      </c>
      <c r="L5" s="72"/>
      <c r="M5" s="12">
        <f ca="1">IF(COUNT(F5:K5)=0,"",SUM(F5:K5))</f>
        <v>31</v>
      </c>
      <c r="N5" s="77"/>
    </row>
    <row r="6" spans="2:14" ht="24" customHeight="1" x14ac:dyDescent="0.25">
      <c r="B6" s="64">
        <v>2</v>
      </c>
      <c r="C6" s="66" t="s">
        <v>135</v>
      </c>
      <c r="D6" s="67"/>
      <c r="E6" s="68"/>
      <c r="F6" s="14" t="str">
        <f ca="1">INDIRECT(ADDRESS(27,7))&amp;":"&amp;INDIRECT(ADDRESS(27,6))</f>
        <v>7:13</v>
      </c>
      <c r="G6" s="15" t="s">
        <v>5</v>
      </c>
      <c r="H6" s="16" t="str">
        <f ca="1">INDIRECT(ADDRESS(37,6))&amp;":"&amp;INDIRECT(ADDRESS(37,7))</f>
        <v>10:13</v>
      </c>
      <c r="I6" s="16" t="str">
        <f ca="1">INDIRECT(ADDRESS(41,7))&amp;":"&amp;INDIRECT(ADDRESS(41,6))</f>
        <v>13:11</v>
      </c>
      <c r="J6" s="16" t="str">
        <f ca="1">INDIRECT(ADDRESS(21,6))&amp;":"&amp;INDIRECT(ADDRESS(21,7))</f>
        <v>8:13</v>
      </c>
      <c r="K6" s="17" t="str">
        <f ca="1">INDIRECT(ADDRESS(30,6))&amp;":"&amp;INDIRECT(ADDRESS(30,7))</f>
        <v>13:3</v>
      </c>
      <c r="L6" s="72">
        <f ca="1">IF(COUNT(F7:K7)=0,"",COUNTIF(F7:K7,"&gt;0")+0.5*COUNTIF(F7:K7,0))</f>
        <v>2</v>
      </c>
      <c r="M6" s="12"/>
      <c r="N6" s="74">
        <v>4</v>
      </c>
    </row>
    <row r="7" spans="2:14" ht="24" customHeight="1" x14ac:dyDescent="0.25">
      <c r="B7" s="76"/>
      <c r="C7" s="66"/>
      <c r="D7" s="67"/>
      <c r="E7" s="68"/>
      <c r="F7" s="18">
        <f ca="1">IF(LEN(INDIRECT(ADDRESS(ROW()-1, COLUMN())))=1,"",INDIRECT(ADDRESS(27,7))-INDIRECT(ADDRESS(27,6)))</f>
        <v>-6</v>
      </c>
      <c r="G7" s="19" t="s">
        <v>5</v>
      </c>
      <c r="H7" s="12">
        <f ca="1">IF(LEN(INDIRECT(ADDRESS(ROW()-1, COLUMN())))=1,"",INDIRECT(ADDRESS(37,6))-INDIRECT(ADDRESS(37,7)))</f>
        <v>-3</v>
      </c>
      <c r="I7" s="12">
        <f ca="1">IF(LEN(INDIRECT(ADDRESS(ROW()-1, COLUMN())))=1,"",INDIRECT(ADDRESS(41,7))-INDIRECT(ADDRESS(41,6)))</f>
        <v>2</v>
      </c>
      <c r="J7" s="12">
        <f ca="1">IF(LEN(INDIRECT(ADDRESS(ROW()-1, COLUMN())))=1,"",INDIRECT(ADDRESS(21,6))-INDIRECT(ADDRESS(21,7)))</f>
        <v>-5</v>
      </c>
      <c r="K7" s="13">
        <f ca="1">IF(LEN(INDIRECT(ADDRESS(ROW()-1, COLUMN())))=1,"",INDIRECT(ADDRESS(30,6))-INDIRECT(ADDRESS(30,7)))</f>
        <v>10</v>
      </c>
      <c r="L7" s="72"/>
      <c r="M7" s="12">
        <f ca="1">IF(COUNT(F7:K7)=0,"",SUM(F7:K7))</f>
        <v>-2</v>
      </c>
      <c r="N7" s="77"/>
    </row>
    <row r="8" spans="2:14" ht="24" customHeight="1" x14ac:dyDescent="0.25">
      <c r="B8" s="64">
        <v>3</v>
      </c>
      <c r="C8" s="78" t="s">
        <v>136</v>
      </c>
      <c r="D8" s="79"/>
      <c r="E8" s="80"/>
      <c r="F8" s="14" t="str">
        <f ca="1">INDIRECT(ADDRESS(31,6))&amp;":"&amp;INDIRECT(ADDRESS(31,7))</f>
        <v>8:13</v>
      </c>
      <c r="G8" s="16" t="str">
        <f ca="1">INDIRECT(ADDRESS(37,7))&amp;":"&amp;INDIRECT(ADDRESS(37,6))</f>
        <v>13:10</v>
      </c>
      <c r="H8" s="15" t="s">
        <v>5</v>
      </c>
      <c r="I8" s="16" t="str">
        <f ca="1">INDIRECT(ADDRESS(22,6))&amp;":"&amp;INDIRECT(ADDRESS(22,7))</f>
        <v>12:10</v>
      </c>
      <c r="J8" s="16" t="str">
        <f ca="1">INDIRECT(ADDRESS(26,7))&amp;":"&amp;INDIRECT(ADDRESS(26,6))</f>
        <v>13:7</v>
      </c>
      <c r="K8" s="17" t="str">
        <f ca="1">INDIRECT(ADDRESS(40,6))&amp;":"&amp;INDIRECT(ADDRESS(40,7))</f>
        <v>13:8</v>
      </c>
      <c r="L8" s="72">
        <f ca="1">IF(COUNT(F9:K9)=0,"",COUNTIF(F9:K9,"&gt;0")+0.5*COUNTIF(F9:K9,0))</f>
        <v>4</v>
      </c>
      <c r="M8" s="12"/>
      <c r="N8" s="74">
        <v>2</v>
      </c>
    </row>
    <row r="9" spans="2:14" ht="24" customHeight="1" x14ac:dyDescent="0.25">
      <c r="B9" s="76"/>
      <c r="C9" s="78"/>
      <c r="D9" s="79"/>
      <c r="E9" s="80"/>
      <c r="F9" s="18">
        <f ca="1">IF(LEN(INDIRECT(ADDRESS(ROW()-1, COLUMN())))=1,"",INDIRECT(ADDRESS(31,6))-INDIRECT(ADDRESS(31,7)))</f>
        <v>-5</v>
      </c>
      <c r="G9" s="12">
        <f ca="1">IF(LEN(INDIRECT(ADDRESS(ROW()-1, COLUMN())))=1,"",INDIRECT(ADDRESS(37,7))-INDIRECT(ADDRESS(37,6)))</f>
        <v>3</v>
      </c>
      <c r="H9" s="19" t="s">
        <v>5</v>
      </c>
      <c r="I9" s="12">
        <f ca="1">IF(LEN(INDIRECT(ADDRESS(ROW()-1, COLUMN())))=1,"",INDIRECT(ADDRESS(22,6))-INDIRECT(ADDRESS(22,7)))</f>
        <v>2</v>
      </c>
      <c r="J9" s="12">
        <f ca="1">IF(LEN(INDIRECT(ADDRESS(ROW()-1, COLUMN())))=1,"",INDIRECT(ADDRESS(26,7))-INDIRECT(ADDRESS(26,6)))</f>
        <v>6</v>
      </c>
      <c r="K9" s="13">
        <f ca="1">IF(LEN(INDIRECT(ADDRESS(ROW()-1, COLUMN())))=1,"",INDIRECT(ADDRESS(40,6))-INDIRECT(ADDRESS(40,7)))</f>
        <v>5</v>
      </c>
      <c r="L9" s="72"/>
      <c r="M9" s="12">
        <f ca="1">IF(COUNT(F9:K9)=0,"",SUM(F9:K9))</f>
        <v>11</v>
      </c>
      <c r="N9" s="77"/>
    </row>
    <row r="10" spans="2:14" ht="24" customHeight="1" x14ac:dyDescent="0.25">
      <c r="B10" s="64">
        <v>4</v>
      </c>
      <c r="C10" s="66" t="s">
        <v>137</v>
      </c>
      <c r="D10" s="67"/>
      <c r="E10" s="68"/>
      <c r="F10" s="14" t="str">
        <f ca="1">INDIRECT(ADDRESS(36,7))&amp;":"&amp;INDIRECT(ADDRESS(36,6))</f>
        <v>1:13</v>
      </c>
      <c r="G10" s="16" t="str">
        <f ca="1">INDIRECT(ADDRESS(41,6))&amp;":"&amp;INDIRECT(ADDRESS(41,7))</f>
        <v>11:13</v>
      </c>
      <c r="H10" s="16" t="str">
        <f ca="1">INDIRECT(ADDRESS(22,7))&amp;":"&amp;INDIRECT(ADDRESS(22,6))</f>
        <v>10:12</v>
      </c>
      <c r="I10" s="15" t="s">
        <v>5</v>
      </c>
      <c r="J10" s="16" t="str">
        <f ca="1">INDIRECT(ADDRESS(32,6))&amp;":"&amp;INDIRECT(ADDRESS(32,7))</f>
        <v>13:8</v>
      </c>
      <c r="K10" s="17" t="str">
        <f ca="1">INDIRECT(ADDRESS(25,7))&amp;":"&amp;INDIRECT(ADDRESS(25,6))</f>
        <v>7:13</v>
      </c>
      <c r="L10" s="72">
        <f ca="1">IF(COUNT(F11:K11)=0,"",COUNTIF(F11:K11,"&gt;0")+0.5*COUNTIF(F11:K11,0))</f>
        <v>1</v>
      </c>
      <c r="M10" s="12"/>
      <c r="N10" s="74">
        <v>6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-12</v>
      </c>
      <c r="G11" s="12">
        <f ca="1">IF(LEN(INDIRECT(ADDRESS(ROW()-1, COLUMN())))=1,"",INDIRECT(ADDRESS(41,6))-INDIRECT(ADDRESS(41,7)))</f>
        <v>-2</v>
      </c>
      <c r="H11" s="12">
        <f ca="1">IF(LEN(INDIRECT(ADDRESS(ROW()-1, COLUMN())))=1,"",INDIRECT(ADDRESS(22,7))-INDIRECT(ADDRESS(22,6)))</f>
        <v>-2</v>
      </c>
      <c r="I11" s="19" t="s">
        <v>5</v>
      </c>
      <c r="J11" s="12">
        <f ca="1">IF(LEN(INDIRECT(ADDRESS(ROW()-1, COLUMN())))=1,"",INDIRECT(ADDRESS(32,6))-INDIRECT(ADDRESS(32,7)))</f>
        <v>5</v>
      </c>
      <c r="K11" s="13">
        <f ca="1">IF(LEN(INDIRECT(ADDRESS(ROW()-1, COLUMN())))=1,"",INDIRECT(ADDRESS(25,7))-INDIRECT(ADDRESS(25,6)))</f>
        <v>-6</v>
      </c>
      <c r="L11" s="72"/>
      <c r="M11" s="12">
        <f ca="1">IF(COUNT(F11:K11)=0,"",SUM(F11:K11))</f>
        <v>-17</v>
      </c>
      <c r="N11" s="77"/>
    </row>
    <row r="12" spans="2:14" ht="24" customHeight="1" x14ac:dyDescent="0.25">
      <c r="B12" s="64">
        <v>5</v>
      </c>
      <c r="C12" s="66" t="s">
        <v>138</v>
      </c>
      <c r="D12" s="67"/>
      <c r="E12" s="68"/>
      <c r="F12" s="14" t="str">
        <f ca="1">INDIRECT(ADDRESS(42,6))&amp;":"&amp;INDIRECT(ADDRESS(42,7))</f>
        <v>12:13</v>
      </c>
      <c r="G12" s="16" t="str">
        <f ca="1">INDIRECT(ADDRESS(21,7))&amp;":"&amp;INDIRECT(ADDRESS(21,6))</f>
        <v>13:8</v>
      </c>
      <c r="H12" s="16" t="str">
        <f ca="1">INDIRECT(ADDRESS(26,6))&amp;":"&amp;INDIRECT(ADDRESS(26,7))</f>
        <v>7:13</v>
      </c>
      <c r="I12" s="16" t="str">
        <f ca="1">INDIRECT(ADDRESS(32,7))&amp;":"&amp;INDIRECT(ADDRESS(32,6))</f>
        <v>8:13</v>
      </c>
      <c r="J12" s="15" t="s">
        <v>5</v>
      </c>
      <c r="K12" s="17" t="str">
        <f ca="1">INDIRECT(ADDRESS(35,7))&amp;":"&amp;INDIRECT(ADDRESS(35,6))</f>
        <v>13:12</v>
      </c>
      <c r="L12" s="72">
        <f ca="1">IF(COUNT(F13:K13)=0,"",COUNTIF(F13:K13,"&gt;0")+0.5*COUNTIF(F13:K13,0))</f>
        <v>2</v>
      </c>
      <c r="M12" s="12"/>
      <c r="N12" s="74">
        <v>3</v>
      </c>
    </row>
    <row r="13" spans="2:14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-1</v>
      </c>
      <c r="G13" s="12">
        <f ca="1">IF(LEN(INDIRECT(ADDRESS(ROW()-1, COLUMN())))=1,"",INDIRECT(ADDRESS(21,7))-INDIRECT(ADDRESS(21,6)))</f>
        <v>5</v>
      </c>
      <c r="H13" s="12">
        <f ca="1">IF(LEN(INDIRECT(ADDRESS(ROW()-1, COLUMN())))=1,"",INDIRECT(ADDRESS(26,6))-INDIRECT(ADDRESS(26,7)))</f>
        <v>-6</v>
      </c>
      <c r="I13" s="12">
        <f ca="1">IF(LEN(INDIRECT(ADDRESS(ROW()-1, COLUMN())))=1,"",INDIRECT(ADDRESS(32,7))-INDIRECT(ADDRESS(32,6)))</f>
        <v>-5</v>
      </c>
      <c r="J13" s="19" t="s">
        <v>5</v>
      </c>
      <c r="K13" s="13">
        <f ca="1">IF(LEN(INDIRECT(ADDRESS(ROW()-1, COLUMN())))=1,"",INDIRECT(ADDRESS(35,7))-INDIRECT(ADDRESS(35,6)))</f>
        <v>1</v>
      </c>
      <c r="L13" s="72"/>
      <c r="M13" s="12">
        <f ca="1">IF(COUNT(F13:K13)=0,"",SUM(F13:K13))</f>
        <v>-6</v>
      </c>
      <c r="N13" s="77"/>
    </row>
    <row r="14" spans="2:14" ht="24" customHeight="1" x14ac:dyDescent="0.25">
      <c r="B14" s="64">
        <v>6</v>
      </c>
      <c r="C14" s="66" t="s">
        <v>139</v>
      </c>
      <c r="D14" s="67"/>
      <c r="E14" s="68"/>
      <c r="F14" s="14" t="str">
        <f ca="1">INDIRECT(ADDRESS(20,7))&amp;":"&amp;INDIRECT(ADDRESS(20,6))</f>
        <v>6:13</v>
      </c>
      <c r="G14" s="16" t="str">
        <f ca="1">INDIRECT(ADDRESS(30,7))&amp;":"&amp;INDIRECT(ADDRESS(30,6))</f>
        <v>3:13</v>
      </c>
      <c r="H14" s="16" t="str">
        <f ca="1">INDIRECT(ADDRESS(40,7))&amp;":"&amp;INDIRECT(ADDRESS(40,6))</f>
        <v>8:13</v>
      </c>
      <c r="I14" s="16" t="str">
        <f ca="1">INDIRECT(ADDRESS(25,6))&amp;":"&amp;INDIRECT(ADDRESS(25,7))</f>
        <v>13:7</v>
      </c>
      <c r="J14" s="16" t="str">
        <f ca="1">INDIRECT(ADDRESS(35,6))&amp;":"&amp;INDIRECT(ADDRESS(35,7))</f>
        <v>12:13</v>
      </c>
      <c r="K14" s="20" t="s">
        <v>5</v>
      </c>
      <c r="L14" s="72">
        <f ca="1">IF(COUNT(F15:K15)=0,"",COUNTIF(F15:K15,"&gt;0")+0.5*COUNTIF(F15:K15,0))</f>
        <v>1</v>
      </c>
      <c r="M14" s="12"/>
      <c r="N14" s="74">
        <v>5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-7</v>
      </c>
      <c r="G15" s="22">
        <f ca="1">IF(LEN(INDIRECT(ADDRESS(ROW()-1, COLUMN())))=1,"",INDIRECT(ADDRESS(30,7))-INDIRECT(ADDRESS(30,6)))</f>
        <v>-10</v>
      </c>
      <c r="H15" s="22">
        <f ca="1">IF(LEN(INDIRECT(ADDRESS(ROW()-1, COLUMN())))=1,"",INDIRECT(ADDRESS(40,7))-INDIRECT(ADDRESS(40,6)))</f>
        <v>-5</v>
      </c>
      <c r="I15" s="22">
        <f ca="1">IF(LEN(INDIRECT(ADDRESS(ROW()-1, COLUMN())))=1,"",INDIRECT(ADDRESS(25,6))-INDIRECT(ADDRESS(25,7)))</f>
        <v>6</v>
      </c>
      <c r="J15" s="22">
        <f ca="1">IF(LEN(INDIRECT(ADDRESS(ROW()-1, COLUMN())))=1,"",INDIRECT(ADDRESS(35,6))-INDIRECT(ADDRESS(35,7)))</f>
        <v>-1</v>
      </c>
      <c r="K15" s="23" t="s">
        <v>5</v>
      </c>
      <c r="L15" s="73"/>
      <c r="M15" s="22">
        <f ca="1">IF(COUNT(F15:K15)=0,"",SUM(F15:K15))</f>
        <v>-17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Догадин</v>
      </c>
      <c r="D20" s="100"/>
      <c r="E20" s="101"/>
      <c r="F20" s="38">
        <v>13</v>
      </c>
      <c r="G20" s="39">
        <v>6</v>
      </c>
      <c r="H20" s="102" t="str">
        <f ca="1">IF(ISBLANK(INDIRECT(ADDRESS(K20*2+2,3))),"",INDIRECT(ADDRESS(K20*2+2,3)))</f>
        <v>Вакулов</v>
      </c>
      <c r="I20" s="100"/>
      <c r="J20" s="100"/>
      <c r="K20" s="37">
        <v>6</v>
      </c>
      <c r="L20" s="40" t="s">
        <v>13</v>
      </c>
      <c r="M20" s="28"/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Рядовиков</v>
      </c>
      <c r="D21" s="100"/>
      <c r="E21" s="101"/>
      <c r="F21" s="38">
        <v>8</v>
      </c>
      <c r="G21" s="39">
        <v>13</v>
      </c>
      <c r="H21" s="102" t="str">
        <f ca="1">IF(ISBLANK(INDIRECT(ADDRESS(K21*2+2,3))),"",INDIRECT(ADDRESS(K21*2+2,3)))</f>
        <v>Шихарбеев</v>
      </c>
      <c r="I21" s="100"/>
      <c r="J21" s="100"/>
      <c r="K21" s="37">
        <v>5</v>
      </c>
      <c r="L21" s="40" t="s">
        <v>13</v>
      </c>
      <c r="M21" s="28"/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Гришков</v>
      </c>
      <c r="D22" s="100"/>
      <c r="E22" s="101"/>
      <c r="F22" s="38">
        <v>12</v>
      </c>
      <c r="G22" s="39">
        <v>10</v>
      </c>
      <c r="H22" s="102" t="str">
        <f ca="1">IF(ISBLANK(INDIRECT(ADDRESS(K22*2+2,3))),"",INDIRECT(ADDRESS(K22*2+2,3)))</f>
        <v>Медведев</v>
      </c>
      <c r="I22" s="100"/>
      <c r="J22" s="100"/>
      <c r="K22" s="37">
        <v>4</v>
      </c>
      <c r="L22" s="40" t="s">
        <v>13</v>
      </c>
      <c r="M22" s="28"/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Вакулов</v>
      </c>
      <c r="D25" s="100"/>
      <c r="E25" s="101"/>
      <c r="F25" s="38">
        <v>13</v>
      </c>
      <c r="G25" s="39">
        <v>7</v>
      </c>
      <c r="H25" s="102" t="str">
        <f ca="1">IF(ISBLANK(INDIRECT(ADDRESS(K25*2+2,3))),"",INDIRECT(ADDRESS(K25*2+2,3)))</f>
        <v>Медведев</v>
      </c>
      <c r="I25" s="100"/>
      <c r="J25" s="100"/>
      <c r="K25" s="37">
        <v>4</v>
      </c>
      <c r="L25" s="40" t="s">
        <v>13</v>
      </c>
      <c r="M25" s="28"/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Шихарбеев</v>
      </c>
      <c r="D26" s="100"/>
      <c r="E26" s="101"/>
      <c r="F26" s="38">
        <v>7</v>
      </c>
      <c r="G26" s="39">
        <v>13</v>
      </c>
      <c r="H26" s="102" t="str">
        <f ca="1">IF(ISBLANK(INDIRECT(ADDRESS(K26*2+2,3))),"",INDIRECT(ADDRESS(K26*2+2,3)))</f>
        <v>Гришков</v>
      </c>
      <c r="I26" s="100"/>
      <c r="J26" s="100"/>
      <c r="K26" s="37">
        <v>3</v>
      </c>
      <c r="L26" s="40" t="s">
        <v>13</v>
      </c>
      <c r="M26" s="28"/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Догадин</v>
      </c>
      <c r="D27" s="100"/>
      <c r="E27" s="101"/>
      <c r="F27" s="38">
        <v>13</v>
      </c>
      <c r="G27" s="39">
        <v>7</v>
      </c>
      <c r="H27" s="102" t="str">
        <f ca="1">IF(ISBLANK(INDIRECT(ADDRESS(K27*2+2,3))),"",INDIRECT(ADDRESS(K27*2+2,3)))</f>
        <v>Рядовиков</v>
      </c>
      <c r="I27" s="100"/>
      <c r="J27" s="100"/>
      <c r="K27" s="37">
        <v>2</v>
      </c>
      <c r="L27" s="40" t="s">
        <v>13</v>
      </c>
      <c r="M27" s="28"/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Рядовиков</v>
      </c>
      <c r="D30" s="100"/>
      <c r="E30" s="101"/>
      <c r="F30" s="38">
        <v>13</v>
      </c>
      <c r="G30" s="39">
        <v>3</v>
      </c>
      <c r="H30" s="102" t="str">
        <f ca="1">IF(ISBLANK(INDIRECT(ADDRESS(K30*2+2,3))),"",INDIRECT(ADDRESS(K30*2+2,3)))</f>
        <v>Вакулов</v>
      </c>
      <c r="I30" s="100"/>
      <c r="J30" s="100"/>
      <c r="K30" s="37">
        <v>6</v>
      </c>
      <c r="L30" s="40" t="s">
        <v>13</v>
      </c>
      <c r="M30" s="28"/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Гришков</v>
      </c>
      <c r="D31" s="100"/>
      <c r="E31" s="101"/>
      <c r="F31" s="38">
        <v>8</v>
      </c>
      <c r="G31" s="39">
        <v>13</v>
      </c>
      <c r="H31" s="102" t="str">
        <f ca="1">IF(ISBLANK(INDIRECT(ADDRESS(K31*2+2,3))),"",INDIRECT(ADDRESS(K31*2+2,3)))</f>
        <v>Догадин</v>
      </c>
      <c r="I31" s="100"/>
      <c r="J31" s="100"/>
      <c r="K31" s="37">
        <v>1</v>
      </c>
      <c r="L31" s="40" t="s">
        <v>13</v>
      </c>
      <c r="M31" s="28"/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Медведев</v>
      </c>
      <c r="D32" s="100"/>
      <c r="E32" s="101"/>
      <c r="F32" s="38">
        <v>13</v>
      </c>
      <c r="G32" s="39">
        <v>8</v>
      </c>
      <c r="H32" s="102" t="str">
        <f ca="1">IF(ISBLANK(INDIRECT(ADDRESS(K32*2+2,3))),"",INDIRECT(ADDRESS(K32*2+2,3)))</f>
        <v>Шихарбеев</v>
      </c>
      <c r="I32" s="100"/>
      <c r="J32" s="100"/>
      <c r="K32" s="37">
        <v>5</v>
      </c>
      <c r="L32" s="40" t="s">
        <v>13</v>
      </c>
      <c r="M32" s="28"/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Вакулов</v>
      </c>
      <c r="D35" s="100"/>
      <c r="E35" s="101"/>
      <c r="F35" s="38">
        <v>12</v>
      </c>
      <c r="G35" s="39">
        <v>13</v>
      </c>
      <c r="H35" s="102" t="str">
        <f ca="1">IF(ISBLANK(INDIRECT(ADDRESS(K35*2+2,3))),"",INDIRECT(ADDRESS(K35*2+2,3)))</f>
        <v>Шихарбеев</v>
      </c>
      <c r="I35" s="100"/>
      <c r="J35" s="100"/>
      <c r="K35" s="37">
        <v>5</v>
      </c>
      <c r="L35" s="40" t="s">
        <v>13</v>
      </c>
      <c r="M35" s="28"/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Догадин</v>
      </c>
      <c r="D36" s="100"/>
      <c r="E36" s="101"/>
      <c r="F36" s="38">
        <v>13</v>
      </c>
      <c r="G36" s="39">
        <v>1</v>
      </c>
      <c r="H36" s="102" t="str">
        <f ca="1">IF(ISBLANK(INDIRECT(ADDRESS(K36*2+2,3))),"",INDIRECT(ADDRESS(K36*2+2,3)))</f>
        <v>Медведев</v>
      </c>
      <c r="I36" s="100"/>
      <c r="J36" s="100"/>
      <c r="K36" s="37">
        <v>4</v>
      </c>
      <c r="L36" s="40" t="s">
        <v>13</v>
      </c>
      <c r="M36" s="28"/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Рядовиков</v>
      </c>
      <c r="D37" s="100"/>
      <c r="E37" s="101"/>
      <c r="F37" s="38">
        <v>10</v>
      </c>
      <c r="G37" s="39">
        <v>13</v>
      </c>
      <c r="H37" s="102" t="str">
        <f ca="1">IF(ISBLANK(INDIRECT(ADDRESS(K37*2+2,3))),"",INDIRECT(ADDRESS(K37*2+2,3)))</f>
        <v>Гришков</v>
      </c>
      <c r="I37" s="100"/>
      <c r="J37" s="100"/>
      <c r="K37" s="37">
        <v>3</v>
      </c>
      <c r="L37" s="40" t="s">
        <v>13</v>
      </c>
      <c r="M37" s="28"/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Гришков</v>
      </c>
      <c r="D40" s="100"/>
      <c r="E40" s="101"/>
      <c r="F40" s="38">
        <v>13</v>
      </c>
      <c r="G40" s="39">
        <v>8</v>
      </c>
      <c r="H40" s="102" t="str">
        <f ca="1">IF(ISBLANK(INDIRECT(ADDRESS(K40*2+2,3))),"",INDIRECT(ADDRESS(K40*2+2,3)))</f>
        <v>Вакулов</v>
      </c>
      <c r="I40" s="100"/>
      <c r="J40" s="100"/>
      <c r="K40" s="37">
        <v>6</v>
      </c>
      <c r="L40" s="40" t="s">
        <v>13</v>
      </c>
      <c r="M40" s="28"/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Медведев</v>
      </c>
      <c r="D41" s="100"/>
      <c r="E41" s="101"/>
      <c r="F41" s="38">
        <v>11</v>
      </c>
      <c r="G41" s="39">
        <v>13</v>
      </c>
      <c r="H41" s="102" t="str">
        <f ca="1">IF(ISBLANK(INDIRECT(ADDRESS(K41*2+2,3))),"",INDIRECT(ADDRESS(K41*2+2,3)))</f>
        <v>Рядовиков</v>
      </c>
      <c r="I41" s="100"/>
      <c r="J41" s="100"/>
      <c r="K41" s="37">
        <v>2</v>
      </c>
      <c r="L41" s="40" t="s">
        <v>13</v>
      </c>
      <c r="M41" s="28"/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Шихарбеев</v>
      </c>
      <c r="D42" s="100"/>
      <c r="E42" s="101"/>
      <c r="F42" s="38">
        <v>12</v>
      </c>
      <c r="G42" s="39">
        <v>13</v>
      </c>
      <c r="H42" s="102" t="str">
        <f ca="1">IF(ISBLANK(INDIRECT(ADDRESS(K42*2+2,3))),"",INDIRECT(ADDRESS(K42*2+2,3)))</f>
        <v>Догадин</v>
      </c>
      <c r="I42" s="100"/>
      <c r="J42" s="100"/>
      <c r="K42" s="37">
        <v>1</v>
      </c>
      <c r="L42" s="40" t="s">
        <v>13</v>
      </c>
      <c r="M42" s="28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H13" sqref="H13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customFormat="1" ht="31.5" x14ac:dyDescent="0.25">
      <c r="B1" s="126" t="s">
        <v>128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2:13" customFormat="1" ht="15.75" thickBot="1" x14ac:dyDescent="0.3"/>
    <row r="3" spans="2:13" customFormat="1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customFormat="1" ht="21" x14ac:dyDescent="0.25">
      <c r="B4" s="88">
        <v>1</v>
      </c>
      <c r="C4" s="89" t="s">
        <v>129</v>
      </c>
      <c r="D4" s="90"/>
      <c r="E4" s="91"/>
      <c r="F4" s="7" t="s">
        <v>5</v>
      </c>
      <c r="G4" s="8" t="str">
        <f ca="1">INDIRECT(ADDRESS(23,6))&amp;":"&amp;INDIRECT(ADDRESS(23,7))</f>
        <v>13:1</v>
      </c>
      <c r="H4" s="8" t="str">
        <f ca="1">INDIRECT(ADDRESS(26,7))&amp;":"&amp;INDIRECT(ADDRESS(26,6))</f>
        <v>7:13</v>
      </c>
      <c r="I4" s="8" t="str">
        <f ca="1">INDIRECT(ADDRESS(30,6))&amp;":"&amp;INDIRECT(ADDRESS(30,7))</f>
        <v>13:3</v>
      </c>
      <c r="J4" s="9" t="str">
        <f ca="1">INDIRECT(ADDRESS(35,7))&amp;":"&amp;INDIRECT(ADDRESS(35,6))</f>
        <v>13:6</v>
      </c>
      <c r="K4" s="99">
        <f ca="1">IF(COUNT(F5:J5)=0,"",COUNTIF(F5:J5,"&gt;0")+0.5*COUNTIF(F5:J5,0))</f>
        <v>3</v>
      </c>
      <c r="L4" s="10"/>
      <c r="M4" s="103">
        <v>2</v>
      </c>
    </row>
    <row r="5" spans="2:13" customFormat="1" ht="2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COLUMN())))=1,"",INDIRECT(ADDRESS(23,6))-INDIRECT(ADDRESS(23,7)))</f>
        <v>12</v>
      </c>
      <c r="H5" s="12">
        <f ca="1">IF(LEN(INDIRECT(ADDRESS(ROW()-1, COLUMN())))=1,"",INDIRECT(ADDRESS(26,7))-INDIRECT(ADDRESS(26,6)))</f>
        <v>-6</v>
      </c>
      <c r="I5" s="12">
        <f ca="1">IF(LEN(INDIRECT(ADDRESS(ROW()-1, COLUMN())))=1,"",INDIRECT(ADDRESS(30,6))-INDIRECT(ADDRESS(30,7)))</f>
        <v>10</v>
      </c>
      <c r="J5" s="13">
        <f ca="1">IF(LEN(INDIRECT(ADDRESS(ROW()-1, COLUMN())))=1,"",INDIRECT(ADDRESS(35,7))-INDIRECT(ADDRESS(35,6)))</f>
        <v>7</v>
      </c>
      <c r="K5" s="93"/>
      <c r="L5" s="12">
        <f ca="1">IF(COUNT(F5:J5)=0,"",SUM(F5:J5))</f>
        <v>23</v>
      </c>
      <c r="M5" s="94"/>
    </row>
    <row r="6" spans="2:13" customFormat="1" ht="21" x14ac:dyDescent="0.25">
      <c r="B6" s="64">
        <v>2</v>
      </c>
      <c r="C6" s="66" t="s">
        <v>130</v>
      </c>
      <c r="D6" s="67"/>
      <c r="E6" s="68"/>
      <c r="F6" s="14" t="str">
        <f ca="1">INDIRECT(ADDRESS(23,7))&amp;":"&amp;INDIRECT(ADDRESS(23,6))</f>
        <v>1:13</v>
      </c>
      <c r="G6" s="15" t="s">
        <v>5</v>
      </c>
      <c r="H6" s="16" t="str">
        <f ca="1">INDIRECT(ADDRESS(31,6))&amp;":"&amp;INDIRECT(ADDRESS(31,7))</f>
        <v>7:13</v>
      </c>
      <c r="I6" s="16" t="str">
        <f ca="1">INDIRECT(ADDRESS(34,7))&amp;":"&amp;INDIRECT(ADDRESS(34,6))</f>
        <v>1:13</v>
      </c>
      <c r="J6" s="17" t="str">
        <f ca="1">INDIRECT(ADDRESS(18,6))&amp;":"&amp;INDIRECT(ADDRESS(18,7))</f>
        <v>13:5</v>
      </c>
      <c r="K6" s="93">
        <f ca="1">IF(COUNT(F7:J7)=0,"",COUNTIF(F7:J7,"&gt;0")+0.5*COUNTIF(F7:J7,0))</f>
        <v>1</v>
      </c>
      <c r="L6" s="12"/>
      <c r="M6" s="94">
        <v>4</v>
      </c>
    </row>
    <row r="7" spans="2:13" customFormat="1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-12</v>
      </c>
      <c r="G7" s="19" t="s">
        <v>5</v>
      </c>
      <c r="H7" s="12">
        <f ca="1">IF(LEN(INDIRECT(ADDRESS(ROW()-1, COLUMN())))=1,"",INDIRECT(ADDRESS(31,6))-INDIRECT(ADDRESS(31,7)))</f>
        <v>-6</v>
      </c>
      <c r="I7" s="12">
        <f ca="1">IF(LEN(INDIRECT(ADDRESS(ROW()-1, COLUMN())))=1,"",INDIRECT(ADDRESS(34,7))-INDIRECT(ADDRESS(34,6)))</f>
        <v>-12</v>
      </c>
      <c r="J7" s="13">
        <f ca="1">IF(LEN(INDIRECT(ADDRESS(ROW()-1, COLUMN())))=1,"",INDIRECT(ADDRESS(18,6))-INDIRECT(ADDRESS(18,7)))</f>
        <v>8</v>
      </c>
      <c r="K7" s="93"/>
      <c r="L7" s="12">
        <f ca="1">IF(COUNT(F7:J7)=0,"",SUM(F7:J7))</f>
        <v>-22</v>
      </c>
      <c r="M7" s="94"/>
    </row>
    <row r="8" spans="2:13" customFormat="1" ht="21" x14ac:dyDescent="0.25">
      <c r="B8" s="64">
        <v>3</v>
      </c>
      <c r="C8" s="78" t="s">
        <v>131</v>
      </c>
      <c r="D8" s="79"/>
      <c r="E8" s="80"/>
      <c r="F8" s="14" t="str">
        <f ca="1">INDIRECT(ADDRESS(26,6))&amp;":"&amp;INDIRECT(ADDRESS(26,7))</f>
        <v>13:7</v>
      </c>
      <c r="G8" s="16" t="str">
        <f ca="1">INDIRECT(ADDRESS(31,7))&amp;":"&amp;INDIRECT(ADDRESS(31,6))</f>
        <v>13:7</v>
      </c>
      <c r="H8" s="15" t="s">
        <v>5</v>
      </c>
      <c r="I8" s="16" t="str">
        <f ca="1">INDIRECT(ADDRESS(19,6))&amp;":"&amp;INDIRECT(ADDRESS(19,7))</f>
        <v>13:3</v>
      </c>
      <c r="J8" s="17" t="str">
        <f ca="1">INDIRECT(ADDRESS(22,7))&amp;":"&amp;INDIRECT(ADDRESS(22,6))</f>
        <v>13:1</v>
      </c>
      <c r="K8" s="93">
        <f ca="1">IF(COUNT(F9:J9)=0,"",COUNTIF(F9:J9,"&gt;0")+0.5*COUNTIF(F9:J9,0))</f>
        <v>4</v>
      </c>
      <c r="L8" s="12"/>
      <c r="M8" s="94">
        <v>1</v>
      </c>
    </row>
    <row r="9" spans="2:13" customFormat="1" ht="21" x14ac:dyDescent="0.25">
      <c r="B9" s="76"/>
      <c r="C9" s="78"/>
      <c r="D9" s="79"/>
      <c r="E9" s="80"/>
      <c r="F9" s="18">
        <f ca="1">IF(LEN(INDIRECT(ADDRESS(ROW()-1, COLUMN())))=1,"",INDIRECT(ADDRESS(26,6))-INDIRECT(ADDRESS(26,7)))</f>
        <v>6</v>
      </c>
      <c r="G9" s="12">
        <f ca="1">IF(LEN(INDIRECT(ADDRESS(ROW()-1, COLUMN())))=1,"",INDIRECT(ADDRESS(31,7))-INDIRECT(ADDRESS(31,6)))</f>
        <v>6</v>
      </c>
      <c r="H9" s="19" t="s">
        <v>5</v>
      </c>
      <c r="I9" s="12">
        <f ca="1">IF(LEN(INDIRECT(ADDRESS(ROW()-1, COLUMN())))=1,"",INDIRECT(ADDRESS(19,6))-INDIRECT(ADDRESS(19,7)))</f>
        <v>10</v>
      </c>
      <c r="J9" s="13">
        <f ca="1">IF(LEN(INDIRECT(ADDRESS(ROW()-1, COLUMN())))=1,"",INDIRECT(ADDRESS(22,7))-INDIRECT(ADDRESS(22,6)))</f>
        <v>12</v>
      </c>
      <c r="K9" s="93"/>
      <c r="L9" s="12">
        <f ca="1">IF(COUNT(F9:J9)=0,"",SUM(F9:J9))</f>
        <v>34</v>
      </c>
      <c r="M9" s="94"/>
    </row>
    <row r="10" spans="2:13" customFormat="1" ht="21" x14ac:dyDescent="0.25">
      <c r="B10" s="64">
        <v>4</v>
      </c>
      <c r="C10" s="66" t="s">
        <v>132</v>
      </c>
      <c r="D10" s="67"/>
      <c r="E10" s="68"/>
      <c r="F10" s="14" t="str">
        <f ca="1">INDIRECT(ADDRESS(30,7))&amp;":"&amp;INDIRECT(ADDRESS(30,6))</f>
        <v>3:13</v>
      </c>
      <c r="G10" s="16" t="str">
        <f ca="1">INDIRECT(ADDRESS(34,6))&amp;":"&amp;INDIRECT(ADDRESS(34,7))</f>
        <v>13:1</v>
      </c>
      <c r="H10" s="16" t="str">
        <f ca="1">INDIRECT(ADDRESS(19,7))&amp;":"&amp;INDIRECT(ADDRESS(19,6))</f>
        <v>3:13</v>
      </c>
      <c r="I10" s="15" t="s">
        <v>5</v>
      </c>
      <c r="J10" s="17" t="str">
        <f ca="1">INDIRECT(ADDRESS(27,6))&amp;":"&amp;INDIRECT(ADDRESS(27,7))</f>
        <v>13:5</v>
      </c>
      <c r="K10" s="93">
        <f ca="1">IF(COUNT(F11:J11)=0,"",COUNTIF(F11:J11,"&gt;0")+0.5*COUNTIF(F11:J11,0))</f>
        <v>2</v>
      </c>
      <c r="L10" s="12"/>
      <c r="M10" s="94">
        <v>3</v>
      </c>
    </row>
    <row r="11" spans="2:13" customFormat="1" ht="21" x14ac:dyDescent="0.25">
      <c r="B11" s="76"/>
      <c r="C11" s="66"/>
      <c r="D11" s="67"/>
      <c r="E11" s="68"/>
      <c r="F11" s="18">
        <f ca="1">IF(LEN(INDIRECT(ADDRESS(ROW()-1, COLUMN())))=1,"",INDIRECT(ADDRESS(30,7))-INDIRECT(ADDRESS(30,6)))</f>
        <v>-10</v>
      </c>
      <c r="G11" s="12">
        <f ca="1">IF(LEN(INDIRECT(ADDRESS(ROW()-1, COLUMN())))=1,"",INDIRECT(ADDRESS(34,6))-INDIRECT(ADDRESS(34,7)))</f>
        <v>12</v>
      </c>
      <c r="H11" s="12">
        <f ca="1">IF(LEN(INDIRECT(ADDRESS(ROW()-1, COLUMN())))=1,"",INDIRECT(ADDRESS(19,7))-INDIRECT(ADDRESS(19,6)))</f>
        <v>-10</v>
      </c>
      <c r="I11" s="19" t="s">
        <v>5</v>
      </c>
      <c r="J11" s="13">
        <f ca="1">IF(LEN(INDIRECT(ADDRESS(ROW()-1, COLUMN())))=1,"",INDIRECT(ADDRESS(27,6))-INDIRECT(ADDRESS(27,7)))</f>
        <v>8</v>
      </c>
      <c r="K11" s="93"/>
      <c r="L11" s="12">
        <f ca="1">IF(COUNT(F11:J11)=0,"",SUM(F11:J11))</f>
        <v>0</v>
      </c>
      <c r="M11" s="94"/>
    </row>
    <row r="12" spans="2:13" customFormat="1" ht="21" x14ac:dyDescent="0.25">
      <c r="B12" s="64">
        <v>5</v>
      </c>
      <c r="C12" s="66" t="s">
        <v>133</v>
      </c>
      <c r="D12" s="67"/>
      <c r="E12" s="68"/>
      <c r="F12" s="14" t="str">
        <f ca="1">INDIRECT(ADDRESS(35,6))&amp;":"&amp;INDIRECT(ADDRESS(35,7))</f>
        <v>6:13</v>
      </c>
      <c r="G12" s="16" t="str">
        <f ca="1">INDIRECT(ADDRESS(18,7))&amp;":"&amp;INDIRECT(ADDRESS(18,6))</f>
        <v>5:13</v>
      </c>
      <c r="H12" s="16" t="str">
        <f ca="1">INDIRECT(ADDRESS(22,6))&amp;":"&amp;INDIRECT(ADDRESS(22,7))</f>
        <v>1:13</v>
      </c>
      <c r="I12" s="16" t="str">
        <f ca="1">INDIRECT(ADDRESS(27,7))&amp;":"&amp;INDIRECT(ADDRESS(27,6))</f>
        <v>5:13</v>
      </c>
      <c r="J12" s="20" t="s">
        <v>5</v>
      </c>
      <c r="K12" s="93">
        <f ca="1">IF(COUNT(F13:J13)=0,"",COUNTIF(F13:J13,"&gt;0")+0.5*COUNTIF(F13:J13,0))</f>
        <v>0</v>
      </c>
      <c r="L12" s="12"/>
      <c r="M12" s="94">
        <v>5</v>
      </c>
    </row>
    <row r="13" spans="2:13" customFormat="1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-7</v>
      </c>
      <c r="G13" s="22">
        <f ca="1">IF(LEN(INDIRECT(ADDRESS(ROW()-1, COLUMN())))=1,"",INDIRECT(ADDRESS(18,7))-INDIRECT(ADDRESS(18,6)))</f>
        <v>-8</v>
      </c>
      <c r="H13" s="22">
        <f ca="1">IF(LEN(INDIRECT(ADDRESS(ROW()-1, COLUMN())))=1,"",INDIRECT(ADDRESS(22,6))-INDIRECT(ADDRESS(22,7)))</f>
        <v>-12</v>
      </c>
      <c r="I13" s="22">
        <f ca="1">IF(LEN(INDIRECT(ADDRESS(ROW()-1, COLUMN())))=1,"",INDIRECT(ADDRESS(27,7))-INDIRECT(ADDRESS(27,6)))</f>
        <v>-8</v>
      </c>
      <c r="J13" s="23" t="s">
        <v>5</v>
      </c>
      <c r="K13" s="95"/>
      <c r="L13" s="22">
        <f ca="1">IF(COUNT(F13:J13)=0,"",SUM(F13:J13))</f>
        <v>-35</v>
      </c>
      <c r="M13" s="96"/>
    </row>
    <row r="14" spans="2:13" customFormat="1" x14ac:dyDescent="0.25"/>
    <row r="15" spans="2:13" customFormat="1" x14ac:dyDescent="0.25"/>
    <row r="16" spans="2:13" customFormat="1" x14ac:dyDescent="0.25"/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Забелина</v>
      </c>
      <c r="D18" s="100"/>
      <c r="E18" s="101"/>
      <c r="F18" s="38">
        <v>13</v>
      </c>
      <c r="G18" s="39">
        <v>5</v>
      </c>
      <c r="H18" s="102" t="str">
        <f ca="1">IF(ISBLANK(INDIRECT(ADDRESS(K18*2+2,3))),"",INDIRECT(ADDRESS(K18*2+2,3)))</f>
        <v>Карпова</v>
      </c>
      <c r="I18" s="100"/>
      <c r="J18" s="100"/>
      <c r="K18" s="37">
        <v>5</v>
      </c>
      <c r="L18" s="40" t="s">
        <v>13</v>
      </c>
      <c r="M18" s="28"/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Скляр</v>
      </c>
      <c r="D19" s="100"/>
      <c r="E19" s="101"/>
      <c r="F19" s="38">
        <v>13</v>
      </c>
      <c r="G19" s="39">
        <v>3</v>
      </c>
      <c r="H19" s="102" t="str">
        <f ca="1">IF(ISBLANK(INDIRECT(ADDRESS(K19*2+2,3))),"",INDIRECT(ADDRESS(K19*2+2,3)))</f>
        <v>Тимохина</v>
      </c>
      <c r="I19" s="100"/>
      <c r="J19" s="100"/>
      <c r="K19" s="37">
        <v>4</v>
      </c>
      <c r="L19" s="40" t="s">
        <v>13</v>
      </c>
      <c r="M19" s="28"/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Карпова</v>
      </c>
      <c r="D22" s="100"/>
      <c r="E22" s="101"/>
      <c r="F22" s="38">
        <v>1</v>
      </c>
      <c r="G22" s="39">
        <v>13</v>
      </c>
      <c r="H22" s="102" t="str">
        <f ca="1">IF(ISBLANK(INDIRECT(ADDRESS(K22*2+2,3))),"",INDIRECT(ADDRESS(K22*2+2,3)))</f>
        <v>Скляр</v>
      </c>
      <c r="I22" s="100"/>
      <c r="J22" s="100"/>
      <c r="K22" s="37">
        <v>3</v>
      </c>
      <c r="L22" s="40" t="s">
        <v>13</v>
      </c>
      <c r="M22" s="28"/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Бублик</v>
      </c>
      <c r="D23" s="100"/>
      <c r="E23" s="101"/>
      <c r="F23" s="38">
        <v>13</v>
      </c>
      <c r="G23" s="39">
        <v>1</v>
      </c>
      <c r="H23" s="102" t="str">
        <f ca="1">IF(ISBLANK(INDIRECT(ADDRESS(K23*2+2,3))),"",INDIRECT(ADDRESS(K23*2+2,3)))</f>
        <v>Забелина</v>
      </c>
      <c r="I23" s="100"/>
      <c r="J23" s="100"/>
      <c r="K23" s="37">
        <v>2</v>
      </c>
      <c r="L23" s="40" t="s">
        <v>13</v>
      </c>
      <c r="M23" s="28"/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Скляр</v>
      </c>
      <c r="D26" s="100"/>
      <c r="E26" s="101"/>
      <c r="F26" s="38">
        <v>13</v>
      </c>
      <c r="G26" s="39">
        <v>7</v>
      </c>
      <c r="H26" s="102" t="str">
        <f ca="1">IF(ISBLANK(INDIRECT(ADDRESS(K26*2+2,3))),"",INDIRECT(ADDRESS(K26*2+2,3)))</f>
        <v>Бублик</v>
      </c>
      <c r="I26" s="100"/>
      <c r="J26" s="100"/>
      <c r="K26" s="37">
        <v>1</v>
      </c>
      <c r="L26" s="40" t="s">
        <v>13</v>
      </c>
      <c r="M26" s="28"/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Тимохина</v>
      </c>
      <c r="D27" s="100"/>
      <c r="E27" s="101"/>
      <c r="F27" s="38">
        <v>13</v>
      </c>
      <c r="G27" s="39">
        <v>5</v>
      </c>
      <c r="H27" s="102" t="str">
        <f ca="1">IF(ISBLANK(INDIRECT(ADDRESS(K27*2+2,3))),"",INDIRECT(ADDRESS(K27*2+2,3)))</f>
        <v>Карпова</v>
      </c>
      <c r="I27" s="100"/>
      <c r="J27" s="100"/>
      <c r="K27" s="37">
        <v>5</v>
      </c>
      <c r="L27" s="40" t="s">
        <v>13</v>
      </c>
      <c r="M27" s="28"/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Бублик</v>
      </c>
      <c r="D30" s="100"/>
      <c r="E30" s="101"/>
      <c r="F30" s="38">
        <v>13</v>
      </c>
      <c r="G30" s="39">
        <v>3</v>
      </c>
      <c r="H30" s="102" t="str">
        <f ca="1">IF(ISBLANK(INDIRECT(ADDRESS(K30*2+2,3))),"",INDIRECT(ADDRESS(K30*2+2,3)))</f>
        <v>Тимохина</v>
      </c>
      <c r="I30" s="100"/>
      <c r="J30" s="100"/>
      <c r="K30" s="37">
        <v>4</v>
      </c>
      <c r="L30" s="40" t="s">
        <v>13</v>
      </c>
      <c r="M30" s="28"/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Забелина</v>
      </c>
      <c r="D31" s="100"/>
      <c r="E31" s="101"/>
      <c r="F31" s="38">
        <v>7</v>
      </c>
      <c r="G31" s="39">
        <v>13</v>
      </c>
      <c r="H31" s="102" t="str">
        <f ca="1">IF(ISBLANK(INDIRECT(ADDRESS(K31*2+2,3))),"",INDIRECT(ADDRESS(K31*2+2,3)))</f>
        <v>Скляр</v>
      </c>
      <c r="I31" s="100"/>
      <c r="J31" s="100"/>
      <c r="K31" s="37">
        <v>3</v>
      </c>
      <c r="L31" s="40" t="s">
        <v>13</v>
      </c>
      <c r="M31" s="28"/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Тимохина</v>
      </c>
      <c r="D34" s="100"/>
      <c r="E34" s="101"/>
      <c r="F34" s="38">
        <v>13</v>
      </c>
      <c r="G34" s="39">
        <v>1</v>
      </c>
      <c r="H34" s="102" t="str">
        <f ca="1">IF(ISBLANK(INDIRECT(ADDRESS(K34*2+2,3))),"",INDIRECT(ADDRESS(K34*2+2,3)))</f>
        <v>Забелина</v>
      </c>
      <c r="I34" s="100"/>
      <c r="J34" s="100"/>
      <c r="K34" s="37">
        <v>2</v>
      </c>
      <c r="L34" s="40" t="s">
        <v>13</v>
      </c>
      <c r="M34" s="28"/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Карпова</v>
      </c>
      <c r="D35" s="100"/>
      <c r="E35" s="101"/>
      <c r="F35" s="38">
        <v>6</v>
      </c>
      <c r="G35" s="39">
        <v>13</v>
      </c>
      <c r="H35" s="102" t="str">
        <f ca="1">IF(ISBLANK(INDIRECT(ADDRESS(K35*2+2,3))),"",INDIRECT(ADDRESS(K35*2+2,3)))</f>
        <v>Бублик</v>
      </c>
      <c r="I35" s="100"/>
      <c r="J35" s="100"/>
      <c r="K35" s="37">
        <v>1</v>
      </c>
      <c r="L35" s="40" t="s">
        <v>13</v>
      </c>
      <c r="M35" s="28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P17" sqref="P17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customFormat="1" ht="31.5" x14ac:dyDescent="0.25">
      <c r="B1" s="126" t="s">
        <v>152</v>
      </c>
      <c r="C1" s="126"/>
      <c r="D1" s="126"/>
      <c r="E1" s="126"/>
      <c r="F1" s="126"/>
      <c r="G1" s="126"/>
      <c r="H1" s="126"/>
      <c r="I1" s="126"/>
      <c r="J1" s="126"/>
      <c r="K1" s="126"/>
      <c r="M1" s="30">
        <v>45312</v>
      </c>
    </row>
    <row r="2" spans="2:13" customFormat="1" ht="15.75" thickBot="1" x14ac:dyDescent="0.3"/>
    <row r="3" spans="2:13" customFormat="1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customFormat="1" ht="21" x14ac:dyDescent="0.25">
      <c r="B4" s="88">
        <v>1</v>
      </c>
      <c r="C4" s="89" t="s">
        <v>155</v>
      </c>
      <c r="D4" s="90"/>
      <c r="E4" s="91"/>
      <c r="F4" s="7" t="s">
        <v>5</v>
      </c>
      <c r="G4" s="8" t="str">
        <f ca="1">INDIRECT(ADDRESS(23,6))&amp;":"&amp;INDIRECT(ADDRESS(23,7))</f>
        <v>13:7</v>
      </c>
      <c r="H4" s="8" t="str">
        <f ca="1">INDIRECT(ADDRESS(26,7))&amp;":"&amp;INDIRECT(ADDRESS(26,6))</f>
        <v>13:0</v>
      </c>
      <c r="I4" s="8" t="str">
        <f ca="1">INDIRECT(ADDRESS(30,6))&amp;":"&amp;INDIRECT(ADDRESS(30,7))</f>
        <v>13:7</v>
      </c>
      <c r="J4" s="9" t="str">
        <f ca="1">INDIRECT(ADDRESS(35,7))&amp;":"&amp;INDIRECT(ADDRESS(35,6))</f>
        <v>13:1</v>
      </c>
      <c r="K4" s="99">
        <f ca="1">IF(COUNT(F5:J5)=0,"",COUNTIF(F5:J5,"&gt;0")+0.5*COUNTIF(F5:J5,0))</f>
        <v>4</v>
      </c>
      <c r="L4" s="10"/>
      <c r="M4" s="103">
        <v>1</v>
      </c>
    </row>
    <row r="5" spans="2:13" customFormat="1" ht="2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COLUMN())))=1,"",INDIRECT(ADDRESS(23,6))-INDIRECT(ADDRESS(23,7)))</f>
        <v>6</v>
      </c>
      <c r="H5" s="12">
        <f ca="1">IF(LEN(INDIRECT(ADDRESS(ROW()-1, COLUMN())))=1,"",INDIRECT(ADDRESS(26,7))-INDIRECT(ADDRESS(26,6)))</f>
        <v>13</v>
      </c>
      <c r="I5" s="12">
        <f ca="1">IF(LEN(INDIRECT(ADDRESS(ROW()-1, COLUMN())))=1,"",INDIRECT(ADDRESS(30,6))-INDIRECT(ADDRESS(30,7)))</f>
        <v>6</v>
      </c>
      <c r="J5" s="13">
        <f ca="1">IF(LEN(INDIRECT(ADDRESS(ROW()-1, COLUMN())))=1,"",INDIRECT(ADDRESS(35,7))-INDIRECT(ADDRESS(35,6)))</f>
        <v>12</v>
      </c>
      <c r="K5" s="93"/>
      <c r="L5" s="12">
        <f ca="1">IF(COUNT(F5:J5)=0,"",SUM(F5:J5))</f>
        <v>37</v>
      </c>
      <c r="M5" s="94"/>
    </row>
    <row r="6" spans="2:13" customFormat="1" ht="21" x14ac:dyDescent="0.25">
      <c r="B6" s="64">
        <v>2</v>
      </c>
      <c r="C6" s="66" t="s">
        <v>154</v>
      </c>
      <c r="D6" s="67"/>
      <c r="E6" s="68"/>
      <c r="F6" s="14" t="str">
        <f ca="1">INDIRECT(ADDRESS(23,7))&amp;":"&amp;INDIRECT(ADDRESS(23,6))</f>
        <v>7:13</v>
      </c>
      <c r="G6" s="15" t="s">
        <v>5</v>
      </c>
      <c r="H6" s="16" t="str">
        <f ca="1">INDIRECT(ADDRESS(31,6))&amp;":"&amp;INDIRECT(ADDRESS(31,7))</f>
        <v>5:13</v>
      </c>
      <c r="I6" s="16" t="str">
        <f ca="1">INDIRECT(ADDRESS(34,7))&amp;":"&amp;INDIRECT(ADDRESS(34,6))</f>
        <v>13:7</v>
      </c>
      <c r="J6" s="17" t="str">
        <f ca="1">INDIRECT(ADDRESS(18,6))&amp;":"&amp;INDIRECT(ADDRESS(18,7))</f>
        <v>13:12</v>
      </c>
      <c r="K6" s="93">
        <f ca="1">IF(COUNT(F7:J7)=0,"",COUNTIF(F7:J7,"&gt;0")+0.5*COUNTIF(F7:J7,0))</f>
        <v>2</v>
      </c>
      <c r="L6" s="12"/>
      <c r="M6" s="94">
        <v>3</v>
      </c>
    </row>
    <row r="7" spans="2:13" customFormat="1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-6</v>
      </c>
      <c r="G7" s="19" t="s">
        <v>5</v>
      </c>
      <c r="H7" s="12">
        <f ca="1">IF(LEN(INDIRECT(ADDRESS(ROW()-1, COLUMN())))=1,"",INDIRECT(ADDRESS(31,6))-INDIRECT(ADDRESS(31,7)))</f>
        <v>-8</v>
      </c>
      <c r="I7" s="12">
        <f ca="1">IF(LEN(INDIRECT(ADDRESS(ROW()-1, COLUMN())))=1,"",INDIRECT(ADDRESS(34,7))-INDIRECT(ADDRESS(34,6)))</f>
        <v>6</v>
      </c>
      <c r="J7" s="13">
        <f ca="1">IF(LEN(INDIRECT(ADDRESS(ROW()-1, COLUMN())))=1,"",INDIRECT(ADDRESS(18,6))-INDIRECT(ADDRESS(18,7)))</f>
        <v>1</v>
      </c>
      <c r="K7" s="93"/>
      <c r="L7" s="12">
        <f ca="1">IF(COUNT(F7:J7)=0,"",SUM(F7:J7))</f>
        <v>-7</v>
      </c>
      <c r="M7" s="94"/>
    </row>
    <row r="8" spans="2:13" customFormat="1" ht="21" x14ac:dyDescent="0.25">
      <c r="B8" s="64">
        <v>3</v>
      </c>
      <c r="C8" s="78" t="s">
        <v>156</v>
      </c>
      <c r="D8" s="79"/>
      <c r="E8" s="80"/>
      <c r="F8" s="14" t="str">
        <f ca="1">INDIRECT(ADDRESS(26,6))&amp;":"&amp;INDIRECT(ADDRESS(26,7))</f>
        <v>0:13</v>
      </c>
      <c r="G8" s="16" t="str">
        <f ca="1">INDIRECT(ADDRESS(31,7))&amp;":"&amp;INDIRECT(ADDRESS(31,6))</f>
        <v>13:5</v>
      </c>
      <c r="H8" s="15" t="s">
        <v>5</v>
      </c>
      <c r="I8" s="16" t="str">
        <f ca="1">INDIRECT(ADDRESS(19,6))&amp;":"&amp;INDIRECT(ADDRESS(19,7))</f>
        <v>13:11</v>
      </c>
      <c r="J8" s="17" t="str">
        <f ca="1">INDIRECT(ADDRESS(22,7))&amp;":"&amp;INDIRECT(ADDRESS(22,6))</f>
        <v>13:6</v>
      </c>
      <c r="K8" s="93">
        <f ca="1">IF(COUNT(F9:J9)=0,"",COUNTIF(F9:J9,"&gt;0")+0.5*COUNTIF(F9:J9,0))</f>
        <v>3</v>
      </c>
      <c r="L8" s="12"/>
      <c r="M8" s="94">
        <v>2</v>
      </c>
    </row>
    <row r="9" spans="2:13" customFormat="1" ht="21" x14ac:dyDescent="0.25">
      <c r="B9" s="76"/>
      <c r="C9" s="78"/>
      <c r="D9" s="79"/>
      <c r="E9" s="80"/>
      <c r="F9" s="18">
        <f ca="1">IF(LEN(INDIRECT(ADDRESS(ROW()-1, COLUMN())))=1,"",INDIRECT(ADDRESS(26,6))-INDIRECT(ADDRESS(26,7)))</f>
        <v>-13</v>
      </c>
      <c r="G9" s="12">
        <f ca="1">IF(LEN(INDIRECT(ADDRESS(ROW()-1, COLUMN())))=1,"",INDIRECT(ADDRESS(31,7))-INDIRECT(ADDRESS(31,6)))</f>
        <v>8</v>
      </c>
      <c r="H9" s="19" t="s">
        <v>5</v>
      </c>
      <c r="I9" s="12">
        <f ca="1">IF(LEN(INDIRECT(ADDRESS(ROW()-1, COLUMN())))=1,"",INDIRECT(ADDRESS(19,6))-INDIRECT(ADDRESS(19,7)))</f>
        <v>2</v>
      </c>
      <c r="J9" s="13">
        <f ca="1">IF(LEN(INDIRECT(ADDRESS(ROW()-1, COLUMN())))=1,"",INDIRECT(ADDRESS(22,7))-INDIRECT(ADDRESS(22,6)))</f>
        <v>7</v>
      </c>
      <c r="K9" s="93"/>
      <c r="L9" s="12">
        <f ca="1">IF(COUNT(F9:J9)=0,"",SUM(F9:J9))</f>
        <v>4</v>
      </c>
      <c r="M9" s="94"/>
    </row>
    <row r="10" spans="2:13" customFormat="1" ht="21" x14ac:dyDescent="0.25">
      <c r="B10" s="64">
        <v>4</v>
      </c>
      <c r="C10" s="66" t="s">
        <v>157</v>
      </c>
      <c r="D10" s="67"/>
      <c r="E10" s="68"/>
      <c r="F10" s="14" t="str">
        <f ca="1">INDIRECT(ADDRESS(30,7))&amp;":"&amp;INDIRECT(ADDRESS(30,6))</f>
        <v>7:13</v>
      </c>
      <c r="G10" s="16" t="str">
        <f ca="1">INDIRECT(ADDRESS(34,6))&amp;":"&amp;INDIRECT(ADDRESS(34,7))</f>
        <v>7:13</v>
      </c>
      <c r="H10" s="16" t="str">
        <f ca="1">INDIRECT(ADDRESS(19,7))&amp;":"&amp;INDIRECT(ADDRESS(19,6))</f>
        <v>11:13</v>
      </c>
      <c r="I10" s="15" t="s">
        <v>5</v>
      </c>
      <c r="J10" s="17" t="str">
        <f ca="1">INDIRECT(ADDRESS(27,6))&amp;":"&amp;INDIRECT(ADDRESS(27,7))</f>
        <v>3:13</v>
      </c>
      <c r="K10" s="93">
        <f ca="1">IF(COUNT(F11:J11)=0,"",COUNTIF(F11:J11,"&gt;0")+0.5*COUNTIF(F11:J11,0))</f>
        <v>0</v>
      </c>
      <c r="L10" s="12"/>
      <c r="M10" s="94">
        <v>5</v>
      </c>
    </row>
    <row r="11" spans="2:13" customFormat="1" ht="21" x14ac:dyDescent="0.25">
      <c r="B11" s="76"/>
      <c r="C11" s="66"/>
      <c r="D11" s="67"/>
      <c r="E11" s="68"/>
      <c r="F11" s="18">
        <f ca="1">IF(LEN(INDIRECT(ADDRESS(ROW()-1, COLUMN())))=1,"",INDIRECT(ADDRESS(30,7))-INDIRECT(ADDRESS(30,6)))</f>
        <v>-6</v>
      </c>
      <c r="G11" s="12">
        <f ca="1">IF(LEN(INDIRECT(ADDRESS(ROW()-1, COLUMN())))=1,"",INDIRECT(ADDRESS(34,6))-INDIRECT(ADDRESS(34,7)))</f>
        <v>-6</v>
      </c>
      <c r="H11" s="12">
        <f ca="1">IF(LEN(INDIRECT(ADDRESS(ROW()-1, COLUMN())))=1,"",INDIRECT(ADDRESS(19,7))-INDIRECT(ADDRESS(19,6)))</f>
        <v>-2</v>
      </c>
      <c r="I11" s="19" t="s">
        <v>5</v>
      </c>
      <c r="J11" s="13">
        <f ca="1">IF(LEN(INDIRECT(ADDRESS(ROW()-1, COLUMN())))=1,"",INDIRECT(ADDRESS(27,6))-INDIRECT(ADDRESS(27,7)))</f>
        <v>-10</v>
      </c>
      <c r="K11" s="93"/>
      <c r="L11" s="12">
        <f ca="1">IF(COUNT(F11:J11)=0,"",SUM(F11:J11))</f>
        <v>-24</v>
      </c>
      <c r="M11" s="94"/>
    </row>
    <row r="12" spans="2:13" customFormat="1" ht="21" x14ac:dyDescent="0.25">
      <c r="B12" s="64">
        <v>5</v>
      </c>
      <c r="C12" s="66" t="s">
        <v>158</v>
      </c>
      <c r="D12" s="67"/>
      <c r="E12" s="68"/>
      <c r="F12" s="14" t="str">
        <f ca="1">INDIRECT(ADDRESS(35,6))&amp;":"&amp;INDIRECT(ADDRESS(35,7))</f>
        <v>1:13</v>
      </c>
      <c r="G12" s="16" t="str">
        <f ca="1">INDIRECT(ADDRESS(18,7))&amp;":"&amp;INDIRECT(ADDRESS(18,6))</f>
        <v>12:13</v>
      </c>
      <c r="H12" s="16" t="str">
        <f ca="1">INDIRECT(ADDRESS(22,6))&amp;":"&amp;INDIRECT(ADDRESS(22,7))</f>
        <v>6:13</v>
      </c>
      <c r="I12" s="16" t="str">
        <f ca="1">INDIRECT(ADDRESS(27,7))&amp;":"&amp;INDIRECT(ADDRESS(27,6))</f>
        <v>13:3</v>
      </c>
      <c r="J12" s="20" t="s">
        <v>5</v>
      </c>
      <c r="K12" s="93">
        <f ca="1">IF(COUNT(F13:J13)=0,"",COUNTIF(F13:J13,"&gt;0")+0.5*COUNTIF(F13:J13,0))</f>
        <v>1</v>
      </c>
      <c r="L12" s="12"/>
      <c r="M12" s="94">
        <v>4</v>
      </c>
    </row>
    <row r="13" spans="2:13" customFormat="1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-12</v>
      </c>
      <c r="G13" s="22">
        <f ca="1">IF(LEN(INDIRECT(ADDRESS(ROW()-1, COLUMN())))=1,"",INDIRECT(ADDRESS(18,7))-INDIRECT(ADDRESS(18,6)))</f>
        <v>-1</v>
      </c>
      <c r="H13" s="22">
        <f ca="1">IF(LEN(INDIRECT(ADDRESS(ROW()-1, COLUMN())))=1,"",INDIRECT(ADDRESS(22,6))-INDIRECT(ADDRESS(22,7)))</f>
        <v>-7</v>
      </c>
      <c r="I13" s="22">
        <f ca="1">IF(LEN(INDIRECT(ADDRESS(ROW()-1, COLUMN())))=1,"",INDIRECT(ADDRESS(27,7))-INDIRECT(ADDRESS(27,6)))</f>
        <v>10</v>
      </c>
      <c r="J13" s="23" t="s">
        <v>5</v>
      </c>
      <c r="K13" s="95"/>
      <c r="L13" s="22">
        <f ca="1">IF(COUNT(F13:J13)=0,"",SUM(F13:J13))</f>
        <v>-10</v>
      </c>
      <c r="M13" s="96"/>
    </row>
    <row r="14" spans="2:13" customFormat="1" x14ac:dyDescent="0.25"/>
    <row r="15" spans="2:13" customFormat="1" x14ac:dyDescent="0.25"/>
    <row r="16" spans="2:13" customFormat="1" x14ac:dyDescent="0.25"/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Балабуев</v>
      </c>
      <c r="D18" s="100"/>
      <c r="E18" s="101"/>
      <c r="F18" s="38">
        <v>13</v>
      </c>
      <c r="G18" s="39">
        <v>12</v>
      </c>
      <c r="H18" s="102" t="str">
        <f ca="1">IF(ISBLANK(INDIRECT(ADDRESS(K18*2+2,3))),"",INDIRECT(ADDRESS(K18*2+2,3)))</f>
        <v>Шундрин А</v>
      </c>
      <c r="I18" s="100"/>
      <c r="J18" s="100"/>
      <c r="K18" s="37">
        <v>5</v>
      </c>
      <c r="L18" s="40" t="s">
        <v>13</v>
      </c>
      <c r="M18" s="28"/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Банщиков</v>
      </c>
      <c r="D19" s="100"/>
      <c r="E19" s="101"/>
      <c r="F19" s="38">
        <v>13</v>
      </c>
      <c r="G19" s="39">
        <v>11</v>
      </c>
      <c r="H19" s="102" t="str">
        <f ca="1">IF(ISBLANK(INDIRECT(ADDRESS(K19*2+2,3))),"",INDIRECT(ADDRESS(K19*2+2,3)))</f>
        <v>Шундрин Д</v>
      </c>
      <c r="I19" s="100"/>
      <c r="J19" s="100"/>
      <c r="K19" s="37">
        <v>4</v>
      </c>
      <c r="L19" s="40" t="s">
        <v>13</v>
      </c>
      <c r="M19" s="28"/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Шундрин А</v>
      </c>
      <c r="D22" s="100"/>
      <c r="E22" s="101"/>
      <c r="F22" s="38">
        <v>6</v>
      </c>
      <c r="G22" s="39">
        <v>13</v>
      </c>
      <c r="H22" s="102" t="str">
        <f ca="1">IF(ISBLANK(INDIRECT(ADDRESS(K22*2+2,3))),"",INDIRECT(ADDRESS(K22*2+2,3)))</f>
        <v>Банщиков</v>
      </c>
      <c r="I22" s="100"/>
      <c r="J22" s="100"/>
      <c r="K22" s="37">
        <v>3</v>
      </c>
      <c r="L22" s="40" t="s">
        <v>13</v>
      </c>
      <c r="M22" s="28"/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Михеенко</v>
      </c>
      <c r="D23" s="100"/>
      <c r="E23" s="101"/>
      <c r="F23" s="38">
        <v>13</v>
      </c>
      <c r="G23" s="39">
        <v>7</v>
      </c>
      <c r="H23" s="102" t="str">
        <f ca="1">IF(ISBLANK(INDIRECT(ADDRESS(K23*2+2,3))),"",INDIRECT(ADDRESS(K23*2+2,3)))</f>
        <v>Балабуев</v>
      </c>
      <c r="I23" s="100"/>
      <c r="J23" s="100"/>
      <c r="K23" s="37">
        <v>2</v>
      </c>
      <c r="L23" s="40" t="s">
        <v>13</v>
      </c>
      <c r="M23" s="28"/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Банщиков</v>
      </c>
      <c r="D26" s="100"/>
      <c r="E26" s="101"/>
      <c r="F26" s="38">
        <v>0</v>
      </c>
      <c r="G26" s="39">
        <v>13</v>
      </c>
      <c r="H26" s="102" t="str">
        <f ca="1">IF(ISBLANK(INDIRECT(ADDRESS(K26*2+2,3))),"",INDIRECT(ADDRESS(K26*2+2,3)))</f>
        <v>Михеенко</v>
      </c>
      <c r="I26" s="100"/>
      <c r="J26" s="100"/>
      <c r="K26" s="37">
        <v>1</v>
      </c>
      <c r="L26" s="40" t="s">
        <v>13</v>
      </c>
      <c r="M26" s="28"/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Шундрин Д</v>
      </c>
      <c r="D27" s="100"/>
      <c r="E27" s="101"/>
      <c r="F27" s="38">
        <v>3</v>
      </c>
      <c r="G27" s="39">
        <v>13</v>
      </c>
      <c r="H27" s="102" t="str">
        <f ca="1">IF(ISBLANK(INDIRECT(ADDRESS(K27*2+2,3))),"",INDIRECT(ADDRESS(K27*2+2,3)))</f>
        <v>Шундрин А</v>
      </c>
      <c r="I27" s="100"/>
      <c r="J27" s="100"/>
      <c r="K27" s="37">
        <v>5</v>
      </c>
      <c r="L27" s="40" t="s">
        <v>13</v>
      </c>
      <c r="M27" s="28"/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Михеенко</v>
      </c>
      <c r="D30" s="100"/>
      <c r="E30" s="101"/>
      <c r="F30" s="38">
        <v>13</v>
      </c>
      <c r="G30" s="39">
        <v>7</v>
      </c>
      <c r="H30" s="102" t="str">
        <f ca="1">IF(ISBLANK(INDIRECT(ADDRESS(K30*2+2,3))),"",INDIRECT(ADDRESS(K30*2+2,3)))</f>
        <v>Шундрин Д</v>
      </c>
      <c r="I30" s="100"/>
      <c r="J30" s="100"/>
      <c r="K30" s="37">
        <v>4</v>
      </c>
      <c r="L30" s="40" t="s">
        <v>13</v>
      </c>
      <c r="M30" s="28"/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Балабуев</v>
      </c>
      <c r="D31" s="100"/>
      <c r="E31" s="101"/>
      <c r="F31" s="38">
        <v>5</v>
      </c>
      <c r="G31" s="39">
        <v>13</v>
      </c>
      <c r="H31" s="102" t="str">
        <f ca="1">IF(ISBLANK(INDIRECT(ADDRESS(K31*2+2,3))),"",INDIRECT(ADDRESS(K31*2+2,3)))</f>
        <v>Банщиков</v>
      </c>
      <c r="I31" s="100"/>
      <c r="J31" s="100"/>
      <c r="K31" s="37">
        <v>3</v>
      </c>
      <c r="L31" s="40" t="s">
        <v>13</v>
      </c>
      <c r="M31" s="28"/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Шундрин Д</v>
      </c>
      <c r="D34" s="100"/>
      <c r="E34" s="101"/>
      <c r="F34" s="38">
        <v>7</v>
      </c>
      <c r="G34" s="39">
        <v>13</v>
      </c>
      <c r="H34" s="102" t="str">
        <f ca="1">IF(ISBLANK(INDIRECT(ADDRESS(K34*2+2,3))),"",INDIRECT(ADDRESS(K34*2+2,3)))</f>
        <v>Балабуев</v>
      </c>
      <c r="I34" s="100"/>
      <c r="J34" s="100"/>
      <c r="K34" s="37">
        <v>2</v>
      </c>
      <c r="L34" s="40" t="s">
        <v>13</v>
      </c>
      <c r="M34" s="28"/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Шундрин А</v>
      </c>
      <c r="D35" s="100"/>
      <c r="E35" s="101"/>
      <c r="F35" s="38">
        <v>1</v>
      </c>
      <c r="G35" s="39">
        <v>13</v>
      </c>
      <c r="H35" s="102" t="str">
        <f ca="1">IF(ISBLANK(INDIRECT(ADDRESS(K35*2+2,3))),"",INDIRECT(ADDRESS(K35*2+2,3)))</f>
        <v>Михеенко</v>
      </c>
      <c r="I35" s="100"/>
      <c r="J35" s="100"/>
      <c r="K35" s="37">
        <v>1</v>
      </c>
      <c r="L35" s="40" t="s">
        <v>13</v>
      </c>
      <c r="M35" s="28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O19" sqref="O19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126" t="s">
        <v>159</v>
      </c>
      <c r="C1" s="126"/>
      <c r="D1" s="126"/>
      <c r="E1" s="126"/>
      <c r="F1" s="126"/>
      <c r="G1" s="126"/>
      <c r="H1" s="126"/>
      <c r="I1" s="126"/>
      <c r="J1" s="126"/>
      <c r="K1" s="126"/>
      <c r="N1" s="30">
        <v>45312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127" t="s">
        <v>160</v>
      </c>
      <c r="D4" s="128"/>
      <c r="E4" s="129"/>
      <c r="F4" s="7" t="s">
        <v>5</v>
      </c>
      <c r="G4" s="8" t="str">
        <f ca="1">INDIRECT(ADDRESS(27,6))&amp;":"&amp;INDIRECT(ADDRESS(27,7))</f>
        <v>12:13</v>
      </c>
      <c r="H4" s="8" t="str">
        <f ca="1">INDIRECT(ADDRESS(31,7))&amp;":"&amp;INDIRECT(ADDRESS(31,6))</f>
        <v>6:13</v>
      </c>
      <c r="I4" s="8" t="str">
        <f ca="1">INDIRECT(ADDRESS(36,6))&amp;":"&amp;INDIRECT(ADDRESS(36,7))</f>
        <v>11:13</v>
      </c>
      <c r="J4" s="8" t="str">
        <f ca="1">INDIRECT(ADDRESS(42,7))&amp;":"&amp;INDIRECT(ADDRESS(42,6))</f>
        <v>9:13</v>
      </c>
      <c r="K4" s="9" t="str">
        <f ca="1">INDIRECT(ADDRESS(20,6))&amp;":"&amp;INDIRECT(ADDRESS(20,7))</f>
        <v>13:6</v>
      </c>
      <c r="L4" s="92">
        <f ca="1">IF(COUNT(F5:K5)=0,"",COUNTIF(F5:K5,"&gt;0")+0.5*COUNTIF(F5:K5,0))</f>
        <v>1</v>
      </c>
      <c r="M4" s="10"/>
      <c r="N4" s="121">
        <v>5</v>
      </c>
    </row>
    <row r="5" spans="2:14" ht="24" customHeight="1" x14ac:dyDescent="0.25">
      <c r="B5" s="76"/>
      <c r="C5" s="66"/>
      <c r="D5" s="67"/>
      <c r="E5" s="68"/>
      <c r="F5" s="11" t="s">
        <v>5</v>
      </c>
      <c r="G5" s="12">
        <f ca="1">IF(LEN(INDIRECT(ADDRESS(ROW()-1, COLUMN())))=1,"",INDIRECT(ADDRESS(27,6))-INDIRECT(ADDRESS(27,7)))</f>
        <v>-1</v>
      </c>
      <c r="H5" s="12">
        <f ca="1">IF(LEN(INDIRECT(ADDRESS(ROW()-1, COLUMN())))=1,"",INDIRECT(ADDRESS(31,7))-INDIRECT(ADDRESS(31,6)))</f>
        <v>-7</v>
      </c>
      <c r="I5" s="12">
        <f ca="1">IF(LEN(INDIRECT(ADDRESS(ROW()-1, COLUMN())))=1,"",INDIRECT(ADDRESS(36,6))-INDIRECT(ADDRESS(36,7)))</f>
        <v>-2</v>
      </c>
      <c r="J5" s="12">
        <f ca="1">IF(LEN(INDIRECT(ADDRESS(ROW()-1, COLUMN())))=1,"",INDIRECT(ADDRESS(42,7))-INDIRECT(ADDRESS(42,6)))</f>
        <v>-4</v>
      </c>
      <c r="K5" s="13">
        <f ca="1">IF(LEN(INDIRECT(ADDRESS(ROW()-1, COLUMN())))=1,"",INDIRECT(ADDRESS(20,6))-INDIRECT(ADDRESS(20,7)))</f>
        <v>7</v>
      </c>
      <c r="L5" s="72"/>
      <c r="M5" s="12">
        <f ca="1">IF(COUNT(F5:K5)=0,"",SUM(F5:K5))</f>
        <v>-7</v>
      </c>
      <c r="N5" s="77"/>
    </row>
    <row r="6" spans="2:14" ht="24" customHeight="1" x14ac:dyDescent="0.25">
      <c r="B6" s="64">
        <v>2</v>
      </c>
      <c r="C6" s="66" t="s">
        <v>161</v>
      </c>
      <c r="D6" s="67"/>
      <c r="E6" s="68"/>
      <c r="F6" s="14" t="str">
        <f ca="1">INDIRECT(ADDRESS(27,7))&amp;":"&amp;INDIRECT(ADDRESS(27,6))</f>
        <v>13:12</v>
      </c>
      <c r="G6" s="15" t="s">
        <v>5</v>
      </c>
      <c r="H6" s="16" t="str">
        <f ca="1">INDIRECT(ADDRESS(37,6))&amp;":"&amp;INDIRECT(ADDRESS(37,7))</f>
        <v>7:13</v>
      </c>
      <c r="I6" s="16" t="str">
        <f ca="1">INDIRECT(ADDRESS(41,7))&amp;":"&amp;INDIRECT(ADDRESS(41,6))</f>
        <v>13:6</v>
      </c>
      <c r="J6" s="16" t="str">
        <f ca="1">INDIRECT(ADDRESS(21,6))&amp;":"&amp;INDIRECT(ADDRESS(21,7))</f>
        <v>11:13</v>
      </c>
      <c r="K6" s="17" t="str">
        <f ca="1">INDIRECT(ADDRESS(30,6))&amp;":"&amp;INDIRECT(ADDRESS(30,7))</f>
        <v>9:13</v>
      </c>
      <c r="L6" s="72">
        <f ca="1">IF(COUNT(F7:K7)=0,"",COUNTIF(F7:K7,"&gt;0")+0.5*COUNTIF(F7:K7,0))</f>
        <v>2</v>
      </c>
      <c r="M6" s="12"/>
      <c r="N6" s="74">
        <v>3</v>
      </c>
    </row>
    <row r="7" spans="2:14" ht="24" customHeight="1" x14ac:dyDescent="0.25">
      <c r="B7" s="76"/>
      <c r="C7" s="66"/>
      <c r="D7" s="67"/>
      <c r="E7" s="68"/>
      <c r="F7" s="18">
        <f ca="1">IF(LEN(INDIRECT(ADDRESS(ROW()-1, COLUMN())))=1,"",INDIRECT(ADDRESS(27,7))-INDIRECT(ADDRESS(27,6)))</f>
        <v>1</v>
      </c>
      <c r="G7" s="19" t="s">
        <v>5</v>
      </c>
      <c r="H7" s="12">
        <f ca="1">IF(LEN(INDIRECT(ADDRESS(ROW()-1, COLUMN())))=1,"",INDIRECT(ADDRESS(37,6))-INDIRECT(ADDRESS(37,7)))</f>
        <v>-6</v>
      </c>
      <c r="I7" s="12">
        <f ca="1">IF(LEN(INDIRECT(ADDRESS(ROW()-1, COLUMN())))=1,"",INDIRECT(ADDRESS(41,7))-INDIRECT(ADDRESS(41,6)))</f>
        <v>7</v>
      </c>
      <c r="J7" s="12">
        <f ca="1">IF(LEN(INDIRECT(ADDRESS(ROW()-1, COLUMN())))=1,"",INDIRECT(ADDRESS(21,6))-INDIRECT(ADDRESS(21,7)))</f>
        <v>-2</v>
      </c>
      <c r="K7" s="13">
        <f ca="1">IF(LEN(INDIRECT(ADDRESS(ROW()-1, COLUMN())))=1,"",INDIRECT(ADDRESS(30,6))-INDIRECT(ADDRESS(30,7)))</f>
        <v>-4</v>
      </c>
      <c r="L7" s="72"/>
      <c r="M7" s="12">
        <f ca="1">IF(COUNT(F7:K7)=0,"",SUM(F7:K7))</f>
        <v>-4</v>
      </c>
      <c r="N7" s="77"/>
    </row>
    <row r="8" spans="2:14" ht="24" customHeight="1" x14ac:dyDescent="0.25">
      <c r="B8" s="64">
        <v>3</v>
      </c>
      <c r="C8" s="78" t="s">
        <v>162</v>
      </c>
      <c r="D8" s="79"/>
      <c r="E8" s="80"/>
      <c r="F8" s="14" t="str">
        <f ca="1">INDIRECT(ADDRESS(31,6))&amp;":"&amp;INDIRECT(ADDRESS(31,7))</f>
        <v>13:6</v>
      </c>
      <c r="G8" s="16" t="str">
        <f ca="1">INDIRECT(ADDRESS(37,7))&amp;":"&amp;INDIRECT(ADDRESS(37,6))</f>
        <v>13:7</v>
      </c>
      <c r="H8" s="15" t="s">
        <v>5</v>
      </c>
      <c r="I8" s="16" t="str">
        <f ca="1">INDIRECT(ADDRESS(22,6))&amp;":"&amp;INDIRECT(ADDRESS(22,7))</f>
        <v>13:6</v>
      </c>
      <c r="J8" s="16" t="str">
        <f ca="1">INDIRECT(ADDRESS(26,7))&amp;":"&amp;INDIRECT(ADDRESS(26,6))</f>
        <v>13:9</v>
      </c>
      <c r="K8" s="17" t="str">
        <f ca="1">INDIRECT(ADDRESS(40,6))&amp;":"&amp;INDIRECT(ADDRESS(40,7))</f>
        <v>13:5</v>
      </c>
      <c r="L8" s="72">
        <f ca="1">IF(COUNT(F9:K9)=0,"",COUNTIF(F9:K9,"&gt;0")+0.5*COUNTIF(F9:K9,0))</f>
        <v>5</v>
      </c>
      <c r="M8" s="12"/>
      <c r="N8" s="74">
        <v>1</v>
      </c>
    </row>
    <row r="9" spans="2:14" ht="24" customHeight="1" x14ac:dyDescent="0.25">
      <c r="B9" s="76"/>
      <c r="C9" s="78"/>
      <c r="D9" s="79"/>
      <c r="E9" s="80"/>
      <c r="F9" s="18">
        <f ca="1">IF(LEN(INDIRECT(ADDRESS(ROW()-1, COLUMN())))=1,"",INDIRECT(ADDRESS(31,6))-INDIRECT(ADDRESS(31,7)))</f>
        <v>7</v>
      </c>
      <c r="G9" s="12">
        <f ca="1">IF(LEN(INDIRECT(ADDRESS(ROW()-1, COLUMN())))=1,"",INDIRECT(ADDRESS(37,7))-INDIRECT(ADDRESS(37,6)))</f>
        <v>6</v>
      </c>
      <c r="H9" s="19" t="s">
        <v>5</v>
      </c>
      <c r="I9" s="12">
        <f ca="1">IF(LEN(INDIRECT(ADDRESS(ROW()-1, COLUMN())))=1,"",INDIRECT(ADDRESS(22,6))-INDIRECT(ADDRESS(22,7)))</f>
        <v>7</v>
      </c>
      <c r="J9" s="12">
        <f ca="1">IF(LEN(INDIRECT(ADDRESS(ROW()-1, COLUMN())))=1,"",INDIRECT(ADDRESS(26,7))-INDIRECT(ADDRESS(26,6)))</f>
        <v>4</v>
      </c>
      <c r="K9" s="13">
        <f ca="1">IF(LEN(INDIRECT(ADDRESS(ROW()-1, COLUMN())))=1,"",INDIRECT(ADDRESS(40,6))-INDIRECT(ADDRESS(40,7)))</f>
        <v>8</v>
      </c>
      <c r="L9" s="72"/>
      <c r="M9" s="12">
        <f ca="1">IF(COUNT(F9:K9)=0,"",SUM(F9:K9))</f>
        <v>32</v>
      </c>
      <c r="N9" s="77"/>
    </row>
    <row r="10" spans="2:14" ht="24" customHeight="1" x14ac:dyDescent="0.25">
      <c r="B10" s="64">
        <v>4</v>
      </c>
      <c r="C10" s="66" t="s">
        <v>163</v>
      </c>
      <c r="D10" s="67"/>
      <c r="E10" s="68"/>
      <c r="F10" s="14" t="str">
        <f ca="1">INDIRECT(ADDRESS(36,7))&amp;":"&amp;INDIRECT(ADDRESS(36,6))</f>
        <v>13:11</v>
      </c>
      <c r="G10" s="16" t="str">
        <f ca="1">INDIRECT(ADDRESS(41,6))&amp;":"&amp;INDIRECT(ADDRESS(41,7))</f>
        <v>6:13</v>
      </c>
      <c r="H10" s="16" t="str">
        <f ca="1">INDIRECT(ADDRESS(22,7))&amp;":"&amp;INDIRECT(ADDRESS(22,6))</f>
        <v>6:13</v>
      </c>
      <c r="I10" s="15" t="s">
        <v>5</v>
      </c>
      <c r="J10" s="16" t="str">
        <f ca="1">INDIRECT(ADDRESS(32,6))&amp;":"&amp;INDIRECT(ADDRESS(32,7))</f>
        <v>2:13</v>
      </c>
      <c r="K10" s="17" t="str">
        <f ca="1">INDIRECT(ADDRESS(25,7))&amp;":"&amp;INDIRECT(ADDRESS(25,6))</f>
        <v>13:9</v>
      </c>
      <c r="L10" s="72">
        <f ca="1">IF(COUNT(F11:K11)=0,"",COUNTIF(F11:K11,"&gt;0")+0.5*COUNTIF(F11:K11,0))</f>
        <v>2</v>
      </c>
      <c r="M10" s="12"/>
      <c r="N10" s="74">
        <v>4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2</v>
      </c>
      <c r="G11" s="12">
        <f ca="1">IF(LEN(INDIRECT(ADDRESS(ROW()-1, COLUMN())))=1,"",INDIRECT(ADDRESS(41,6))-INDIRECT(ADDRESS(41,7)))</f>
        <v>-7</v>
      </c>
      <c r="H11" s="12">
        <f ca="1">IF(LEN(INDIRECT(ADDRESS(ROW()-1, COLUMN())))=1,"",INDIRECT(ADDRESS(22,7))-INDIRECT(ADDRESS(22,6)))</f>
        <v>-7</v>
      </c>
      <c r="I11" s="19" t="s">
        <v>5</v>
      </c>
      <c r="J11" s="12">
        <f ca="1">IF(LEN(INDIRECT(ADDRESS(ROW()-1, COLUMN())))=1,"",INDIRECT(ADDRESS(32,6))-INDIRECT(ADDRESS(32,7)))</f>
        <v>-11</v>
      </c>
      <c r="K11" s="13">
        <f ca="1">IF(LEN(INDIRECT(ADDRESS(ROW()-1, COLUMN())))=1,"",INDIRECT(ADDRESS(25,7))-INDIRECT(ADDRESS(25,6)))</f>
        <v>4</v>
      </c>
      <c r="L11" s="72"/>
      <c r="M11" s="12">
        <f ca="1">IF(COUNT(F11:K11)=0,"",SUM(F11:K11))</f>
        <v>-19</v>
      </c>
      <c r="N11" s="77"/>
    </row>
    <row r="12" spans="2:14" ht="24" customHeight="1" x14ac:dyDescent="0.25">
      <c r="B12" s="64">
        <v>5</v>
      </c>
      <c r="C12" s="78" t="s">
        <v>164</v>
      </c>
      <c r="D12" s="79"/>
      <c r="E12" s="80"/>
      <c r="F12" s="14" t="str">
        <f ca="1">INDIRECT(ADDRESS(42,6))&amp;":"&amp;INDIRECT(ADDRESS(42,7))</f>
        <v>13:9</v>
      </c>
      <c r="G12" s="16" t="str">
        <f ca="1">INDIRECT(ADDRESS(21,7))&amp;":"&amp;INDIRECT(ADDRESS(21,6))</f>
        <v>13:11</v>
      </c>
      <c r="H12" s="16" t="str">
        <f ca="1">INDIRECT(ADDRESS(26,6))&amp;":"&amp;INDIRECT(ADDRESS(26,7))</f>
        <v>9:13</v>
      </c>
      <c r="I12" s="16" t="str">
        <f ca="1">INDIRECT(ADDRESS(32,7))&amp;":"&amp;INDIRECT(ADDRESS(32,6))</f>
        <v>13:2</v>
      </c>
      <c r="J12" s="15" t="s">
        <v>5</v>
      </c>
      <c r="K12" s="17" t="str">
        <f ca="1">INDIRECT(ADDRESS(35,7))&amp;":"&amp;INDIRECT(ADDRESS(35,6))</f>
        <v>13:2</v>
      </c>
      <c r="L12" s="72">
        <f ca="1">IF(COUNT(F13:K13)=0,"",COUNTIF(F13:K13,"&gt;0")+0.5*COUNTIF(F13:K13,0))</f>
        <v>4</v>
      </c>
      <c r="M12" s="12"/>
      <c r="N12" s="74">
        <v>2</v>
      </c>
    </row>
    <row r="13" spans="2:14" ht="24" customHeight="1" x14ac:dyDescent="0.25">
      <c r="B13" s="76"/>
      <c r="C13" s="78"/>
      <c r="D13" s="79"/>
      <c r="E13" s="80"/>
      <c r="F13" s="18">
        <f ca="1">IF(LEN(INDIRECT(ADDRESS(ROW()-1, COLUMN())))=1,"",INDIRECT(ADDRESS(42,6))-INDIRECT(ADDRESS(42,7)))</f>
        <v>4</v>
      </c>
      <c r="G13" s="12">
        <f ca="1">IF(LEN(INDIRECT(ADDRESS(ROW()-1, COLUMN())))=1,"",INDIRECT(ADDRESS(21,7))-INDIRECT(ADDRESS(21,6)))</f>
        <v>2</v>
      </c>
      <c r="H13" s="12">
        <f ca="1">IF(LEN(INDIRECT(ADDRESS(ROW()-1, COLUMN())))=1,"",INDIRECT(ADDRESS(26,6))-INDIRECT(ADDRESS(26,7)))</f>
        <v>-4</v>
      </c>
      <c r="I13" s="12">
        <f ca="1">IF(LEN(INDIRECT(ADDRESS(ROW()-1, COLUMN())))=1,"",INDIRECT(ADDRESS(32,7))-INDIRECT(ADDRESS(32,6)))</f>
        <v>11</v>
      </c>
      <c r="J13" s="19" t="s">
        <v>5</v>
      </c>
      <c r="K13" s="13">
        <f ca="1">IF(LEN(INDIRECT(ADDRESS(ROW()-1, COLUMN())))=1,"",INDIRECT(ADDRESS(35,7))-INDIRECT(ADDRESS(35,6)))</f>
        <v>11</v>
      </c>
      <c r="L13" s="72"/>
      <c r="M13" s="12">
        <f ca="1">IF(COUNT(F13:K13)=0,"",SUM(F13:K13))</f>
        <v>24</v>
      </c>
      <c r="N13" s="77"/>
    </row>
    <row r="14" spans="2:14" ht="24" customHeight="1" x14ac:dyDescent="0.25">
      <c r="B14" s="64">
        <v>6</v>
      </c>
      <c r="C14" s="66" t="s">
        <v>165</v>
      </c>
      <c r="D14" s="67"/>
      <c r="E14" s="68"/>
      <c r="F14" s="14" t="str">
        <f ca="1">INDIRECT(ADDRESS(20,7))&amp;":"&amp;INDIRECT(ADDRESS(20,6))</f>
        <v>6:13</v>
      </c>
      <c r="G14" s="16" t="str">
        <f ca="1">INDIRECT(ADDRESS(30,7))&amp;":"&amp;INDIRECT(ADDRESS(30,6))</f>
        <v>13:9</v>
      </c>
      <c r="H14" s="16" t="str">
        <f ca="1">INDIRECT(ADDRESS(40,7))&amp;":"&amp;INDIRECT(ADDRESS(40,6))</f>
        <v>5:13</v>
      </c>
      <c r="I14" s="16" t="str">
        <f ca="1">INDIRECT(ADDRESS(25,6))&amp;":"&amp;INDIRECT(ADDRESS(25,7))</f>
        <v>9:13</v>
      </c>
      <c r="J14" s="16" t="str">
        <f ca="1">INDIRECT(ADDRESS(35,6))&amp;":"&amp;INDIRECT(ADDRESS(35,7))</f>
        <v>2:13</v>
      </c>
      <c r="K14" s="20" t="s">
        <v>5</v>
      </c>
      <c r="L14" s="72">
        <f ca="1">IF(COUNT(F15:K15)=0,"",COUNTIF(F15:K15,"&gt;0")+0.5*COUNTIF(F15:K15,0))</f>
        <v>1</v>
      </c>
      <c r="M14" s="12"/>
      <c r="N14" s="74">
        <v>6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-7</v>
      </c>
      <c r="G15" s="22">
        <f ca="1">IF(LEN(INDIRECT(ADDRESS(ROW()-1, COLUMN())))=1,"",INDIRECT(ADDRESS(30,7))-INDIRECT(ADDRESS(30,6)))</f>
        <v>4</v>
      </c>
      <c r="H15" s="22">
        <f ca="1">IF(LEN(INDIRECT(ADDRESS(ROW()-1, COLUMN())))=1,"",INDIRECT(ADDRESS(40,7))-INDIRECT(ADDRESS(40,6)))</f>
        <v>-8</v>
      </c>
      <c r="I15" s="22">
        <f ca="1">IF(LEN(INDIRECT(ADDRESS(ROW()-1, COLUMN())))=1,"",INDIRECT(ADDRESS(25,6))-INDIRECT(ADDRESS(25,7)))</f>
        <v>-4</v>
      </c>
      <c r="J15" s="22">
        <f ca="1">IF(LEN(INDIRECT(ADDRESS(ROW()-1, COLUMN())))=1,"",INDIRECT(ADDRESS(35,6))-INDIRECT(ADDRESS(35,7)))</f>
        <v>-11</v>
      </c>
      <c r="K15" s="23" t="s">
        <v>5</v>
      </c>
      <c r="L15" s="73"/>
      <c r="M15" s="22">
        <f ca="1">IF(COUNT(F15:K15)=0,"",SUM(F15:K15))</f>
        <v>-26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Гоцфрид</v>
      </c>
      <c r="D20" s="100"/>
      <c r="E20" s="101"/>
      <c r="F20" s="38">
        <v>13</v>
      </c>
      <c r="G20" s="39">
        <v>6</v>
      </c>
      <c r="H20" s="102" t="str">
        <f ca="1">IF(ISBLANK(INDIRECT(ADDRESS(K20*2+2,3))),"",INDIRECT(ADDRESS(K20*2+2,3)))</f>
        <v>Глеклер</v>
      </c>
      <c r="I20" s="100"/>
      <c r="J20" s="100"/>
      <c r="K20" s="37">
        <v>6</v>
      </c>
      <c r="L20" s="40" t="s">
        <v>13</v>
      </c>
      <c r="M20" s="28"/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Царегородцев</v>
      </c>
      <c r="D21" s="100"/>
      <c r="E21" s="101"/>
      <c r="F21" s="38">
        <v>11</v>
      </c>
      <c r="G21" s="39">
        <v>13</v>
      </c>
      <c r="H21" s="102" t="str">
        <f ca="1">IF(ISBLANK(INDIRECT(ADDRESS(K21*2+2,3))),"",INDIRECT(ADDRESS(K21*2+2,3)))</f>
        <v>Федотовский</v>
      </c>
      <c r="I21" s="100"/>
      <c r="J21" s="100"/>
      <c r="K21" s="37">
        <v>5</v>
      </c>
      <c r="L21" s="40" t="s">
        <v>13</v>
      </c>
      <c r="M21" s="28"/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Шундрин М</v>
      </c>
      <c r="D22" s="100"/>
      <c r="E22" s="101"/>
      <c r="F22" s="38">
        <v>13</v>
      </c>
      <c r="G22" s="39">
        <v>6</v>
      </c>
      <c r="H22" s="102" t="str">
        <f ca="1">IF(ISBLANK(INDIRECT(ADDRESS(K22*2+2,3))),"",INDIRECT(ADDRESS(K22*2+2,3)))</f>
        <v>Мокрушин</v>
      </c>
      <c r="I22" s="100"/>
      <c r="J22" s="100"/>
      <c r="K22" s="37">
        <v>4</v>
      </c>
      <c r="L22" s="40" t="s">
        <v>13</v>
      </c>
      <c r="M22" s="28"/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Глеклер</v>
      </c>
      <c r="D25" s="100"/>
      <c r="E25" s="101"/>
      <c r="F25" s="38">
        <v>9</v>
      </c>
      <c r="G25" s="39">
        <v>13</v>
      </c>
      <c r="H25" s="102" t="str">
        <f ca="1">IF(ISBLANK(INDIRECT(ADDRESS(K25*2+2,3))),"",INDIRECT(ADDRESS(K25*2+2,3)))</f>
        <v>Мокрушин</v>
      </c>
      <c r="I25" s="100"/>
      <c r="J25" s="100"/>
      <c r="K25" s="37">
        <v>4</v>
      </c>
      <c r="L25" s="40" t="s">
        <v>13</v>
      </c>
      <c r="M25" s="28"/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Федотовский</v>
      </c>
      <c r="D26" s="100"/>
      <c r="E26" s="101"/>
      <c r="F26" s="38">
        <v>9</v>
      </c>
      <c r="G26" s="39">
        <v>13</v>
      </c>
      <c r="H26" s="102" t="str">
        <f ca="1">IF(ISBLANK(INDIRECT(ADDRESS(K26*2+2,3))),"",INDIRECT(ADDRESS(K26*2+2,3)))</f>
        <v>Шундрин М</v>
      </c>
      <c r="I26" s="100"/>
      <c r="J26" s="100"/>
      <c r="K26" s="37">
        <v>3</v>
      </c>
      <c r="L26" s="40" t="s">
        <v>13</v>
      </c>
      <c r="M26" s="28"/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Гоцфрид</v>
      </c>
      <c r="D27" s="100"/>
      <c r="E27" s="101"/>
      <c r="F27" s="38">
        <v>12</v>
      </c>
      <c r="G27" s="39">
        <v>13</v>
      </c>
      <c r="H27" s="102" t="str">
        <f ca="1">IF(ISBLANK(INDIRECT(ADDRESS(K27*2+2,3))),"",INDIRECT(ADDRESS(K27*2+2,3)))</f>
        <v>Царегородцев</v>
      </c>
      <c r="I27" s="100"/>
      <c r="J27" s="100"/>
      <c r="K27" s="37">
        <v>2</v>
      </c>
      <c r="L27" s="40" t="s">
        <v>13</v>
      </c>
      <c r="M27" s="28"/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Царегородцев</v>
      </c>
      <c r="D30" s="100"/>
      <c r="E30" s="101"/>
      <c r="F30" s="38">
        <v>9</v>
      </c>
      <c r="G30" s="39">
        <v>13</v>
      </c>
      <c r="H30" s="102" t="str">
        <f ca="1">IF(ISBLANK(INDIRECT(ADDRESS(K30*2+2,3))),"",INDIRECT(ADDRESS(K30*2+2,3)))</f>
        <v>Глеклер</v>
      </c>
      <c r="I30" s="100"/>
      <c r="J30" s="100"/>
      <c r="K30" s="37">
        <v>6</v>
      </c>
      <c r="L30" s="40" t="s">
        <v>13</v>
      </c>
      <c r="M30" s="28"/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Шундрин М</v>
      </c>
      <c r="D31" s="100"/>
      <c r="E31" s="101"/>
      <c r="F31" s="38">
        <v>13</v>
      </c>
      <c r="G31" s="39">
        <v>6</v>
      </c>
      <c r="H31" s="102" t="str">
        <f ca="1">IF(ISBLANK(INDIRECT(ADDRESS(K31*2+2,3))),"",INDIRECT(ADDRESS(K31*2+2,3)))</f>
        <v>Гоцфрид</v>
      </c>
      <c r="I31" s="100"/>
      <c r="J31" s="100"/>
      <c r="K31" s="37">
        <v>1</v>
      </c>
      <c r="L31" s="40" t="s">
        <v>13</v>
      </c>
      <c r="M31" s="28"/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Мокрушин</v>
      </c>
      <c r="D32" s="100"/>
      <c r="E32" s="101"/>
      <c r="F32" s="38">
        <v>2</v>
      </c>
      <c r="G32" s="39">
        <v>13</v>
      </c>
      <c r="H32" s="102" t="str">
        <f ca="1">IF(ISBLANK(INDIRECT(ADDRESS(K32*2+2,3))),"",INDIRECT(ADDRESS(K32*2+2,3)))</f>
        <v>Федотовский</v>
      </c>
      <c r="I32" s="100"/>
      <c r="J32" s="100"/>
      <c r="K32" s="37">
        <v>5</v>
      </c>
      <c r="L32" s="40" t="s">
        <v>13</v>
      </c>
      <c r="M32" s="28"/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Глеклер</v>
      </c>
      <c r="D35" s="100"/>
      <c r="E35" s="101"/>
      <c r="F35" s="38">
        <v>2</v>
      </c>
      <c r="G35" s="39">
        <v>13</v>
      </c>
      <c r="H35" s="102" t="str">
        <f ca="1">IF(ISBLANK(INDIRECT(ADDRESS(K35*2+2,3))),"",INDIRECT(ADDRESS(K35*2+2,3)))</f>
        <v>Федотовский</v>
      </c>
      <c r="I35" s="100"/>
      <c r="J35" s="100"/>
      <c r="K35" s="37">
        <v>5</v>
      </c>
      <c r="L35" s="40" t="s">
        <v>13</v>
      </c>
      <c r="M35" s="28"/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Гоцфрид</v>
      </c>
      <c r="D36" s="100"/>
      <c r="E36" s="101"/>
      <c r="F36" s="38">
        <v>11</v>
      </c>
      <c r="G36" s="39">
        <v>13</v>
      </c>
      <c r="H36" s="102" t="str">
        <f ca="1">IF(ISBLANK(INDIRECT(ADDRESS(K36*2+2,3))),"",INDIRECT(ADDRESS(K36*2+2,3)))</f>
        <v>Мокрушин</v>
      </c>
      <c r="I36" s="100"/>
      <c r="J36" s="100"/>
      <c r="K36" s="37">
        <v>4</v>
      </c>
      <c r="L36" s="40" t="s">
        <v>13</v>
      </c>
      <c r="M36" s="28"/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Царегородцев</v>
      </c>
      <c r="D37" s="100"/>
      <c r="E37" s="101"/>
      <c r="F37" s="38">
        <v>7</v>
      </c>
      <c r="G37" s="39">
        <v>13</v>
      </c>
      <c r="H37" s="102" t="str">
        <f ca="1">IF(ISBLANK(INDIRECT(ADDRESS(K37*2+2,3))),"",INDIRECT(ADDRESS(K37*2+2,3)))</f>
        <v>Шундрин М</v>
      </c>
      <c r="I37" s="100"/>
      <c r="J37" s="100"/>
      <c r="K37" s="37">
        <v>3</v>
      </c>
      <c r="L37" s="40" t="s">
        <v>13</v>
      </c>
      <c r="M37" s="28"/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Шундрин М</v>
      </c>
      <c r="D40" s="100"/>
      <c r="E40" s="101"/>
      <c r="F40" s="38">
        <v>13</v>
      </c>
      <c r="G40" s="39">
        <v>5</v>
      </c>
      <c r="H40" s="102" t="str">
        <f ca="1">IF(ISBLANK(INDIRECT(ADDRESS(K40*2+2,3))),"",INDIRECT(ADDRESS(K40*2+2,3)))</f>
        <v>Глеклер</v>
      </c>
      <c r="I40" s="100"/>
      <c r="J40" s="100"/>
      <c r="K40" s="37">
        <v>6</v>
      </c>
      <c r="L40" s="40" t="s">
        <v>13</v>
      </c>
      <c r="M40" s="28"/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Мокрушин</v>
      </c>
      <c r="D41" s="100"/>
      <c r="E41" s="101"/>
      <c r="F41" s="38">
        <v>6</v>
      </c>
      <c r="G41" s="39">
        <v>13</v>
      </c>
      <c r="H41" s="102" t="str">
        <f ca="1">IF(ISBLANK(INDIRECT(ADDRESS(K41*2+2,3))),"",INDIRECT(ADDRESS(K41*2+2,3)))</f>
        <v>Царегородцев</v>
      </c>
      <c r="I41" s="100"/>
      <c r="J41" s="100"/>
      <c r="K41" s="37">
        <v>2</v>
      </c>
      <c r="L41" s="40" t="s">
        <v>13</v>
      </c>
      <c r="M41" s="28"/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Федотовский</v>
      </c>
      <c r="D42" s="100"/>
      <c r="E42" s="101"/>
      <c r="F42" s="38">
        <v>13</v>
      </c>
      <c r="G42" s="39">
        <v>9</v>
      </c>
      <c r="H42" s="102" t="str">
        <f ca="1">IF(ISBLANK(INDIRECT(ADDRESS(K42*2+2,3))),"",INDIRECT(ADDRESS(K42*2+2,3)))</f>
        <v>Гоцфрид</v>
      </c>
      <c r="I42" s="100"/>
      <c r="J42" s="100"/>
      <c r="K42" s="37">
        <v>1</v>
      </c>
      <c r="L42" s="40" t="s">
        <v>13</v>
      </c>
      <c r="M42" s="28"/>
    </row>
  </sheetData>
  <mergeCells count="61"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O11" sqref="O1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customFormat="1" ht="31.5" x14ac:dyDescent="0.25">
      <c r="B1" s="126" t="s">
        <v>166</v>
      </c>
      <c r="C1" s="126"/>
      <c r="D1" s="126"/>
      <c r="E1" s="126"/>
      <c r="F1" s="126"/>
      <c r="G1" s="126"/>
      <c r="H1" s="126"/>
      <c r="I1" s="126"/>
      <c r="J1" s="126"/>
      <c r="K1" s="126"/>
      <c r="M1" s="30">
        <v>45312</v>
      </c>
    </row>
    <row r="2" spans="2:13" customFormat="1" ht="15.75" thickBot="1" x14ac:dyDescent="0.3"/>
    <row r="3" spans="2:13" customFormat="1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customFormat="1" ht="21" x14ac:dyDescent="0.25">
      <c r="B4" s="88">
        <v>1</v>
      </c>
      <c r="C4" s="89" t="s">
        <v>167</v>
      </c>
      <c r="D4" s="90"/>
      <c r="E4" s="91"/>
      <c r="F4" s="7" t="s">
        <v>5</v>
      </c>
      <c r="G4" s="8" t="str">
        <f ca="1">INDIRECT(ADDRESS(23,6))&amp;":"&amp;INDIRECT(ADDRESS(23,7))</f>
        <v>13:3</v>
      </c>
      <c r="H4" s="8" t="str">
        <f ca="1">INDIRECT(ADDRESS(26,7))&amp;":"&amp;INDIRECT(ADDRESS(26,6))</f>
        <v>13:9</v>
      </c>
      <c r="I4" s="8" t="str">
        <f ca="1">INDIRECT(ADDRESS(30,6))&amp;":"&amp;INDIRECT(ADDRESS(30,7))</f>
        <v>13:5</v>
      </c>
      <c r="J4" s="9" t="str">
        <f ca="1">INDIRECT(ADDRESS(35,7))&amp;":"&amp;INDIRECT(ADDRESS(35,6))</f>
        <v>7:13</v>
      </c>
      <c r="K4" s="99">
        <f ca="1">IF(COUNT(F5:J5)=0,"",COUNTIF(F5:J5,"&gt;0")+0.5*COUNTIF(F5:J5,0))</f>
        <v>3</v>
      </c>
      <c r="L4" s="10"/>
      <c r="M4" s="103">
        <v>2</v>
      </c>
    </row>
    <row r="5" spans="2:13" customFormat="1" ht="2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COLUMN())))=1,"",INDIRECT(ADDRESS(23,6))-INDIRECT(ADDRESS(23,7)))</f>
        <v>10</v>
      </c>
      <c r="H5" s="12">
        <f ca="1">IF(LEN(INDIRECT(ADDRESS(ROW()-1, COLUMN())))=1,"",INDIRECT(ADDRESS(26,7))-INDIRECT(ADDRESS(26,6)))</f>
        <v>4</v>
      </c>
      <c r="I5" s="12">
        <f ca="1">IF(LEN(INDIRECT(ADDRESS(ROW()-1, COLUMN())))=1,"",INDIRECT(ADDRESS(30,6))-INDIRECT(ADDRESS(30,7)))</f>
        <v>8</v>
      </c>
      <c r="J5" s="13">
        <f ca="1">IF(LEN(INDIRECT(ADDRESS(ROW()-1, COLUMN())))=1,"",INDIRECT(ADDRESS(35,7))-INDIRECT(ADDRESS(35,6)))</f>
        <v>-6</v>
      </c>
      <c r="K5" s="93"/>
      <c r="L5" s="12">
        <f ca="1">IF(COUNT(F5:J5)=0,"",SUM(F5:J5))</f>
        <v>16</v>
      </c>
      <c r="M5" s="94"/>
    </row>
    <row r="6" spans="2:13" customFormat="1" ht="21" x14ac:dyDescent="0.25">
      <c r="B6" s="64">
        <v>2</v>
      </c>
      <c r="C6" s="66" t="s">
        <v>168</v>
      </c>
      <c r="D6" s="67"/>
      <c r="E6" s="68"/>
      <c r="F6" s="14" t="str">
        <f ca="1">INDIRECT(ADDRESS(23,7))&amp;":"&amp;INDIRECT(ADDRESS(23,6))</f>
        <v>3:13</v>
      </c>
      <c r="G6" s="15" t="s">
        <v>5</v>
      </c>
      <c r="H6" s="16" t="str">
        <f ca="1">INDIRECT(ADDRESS(31,6))&amp;":"&amp;INDIRECT(ADDRESS(31,7))</f>
        <v>13:6</v>
      </c>
      <c r="I6" s="16" t="str">
        <f ca="1">INDIRECT(ADDRESS(34,7))&amp;":"&amp;INDIRECT(ADDRESS(34,6))</f>
        <v>13:8</v>
      </c>
      <c r="J6" s="17" t="str">
        <f ca="1">INDIRECT(ADDRESS(18,6))&amp;":"&amp;INDIRECT(ADDRESS(18,7))</f>
        <v>8:13</v>
      </c>
      <c r="K6" s="93">
        <f ca="1">IF(COUNT(F7:J7)=0,"",COUNTIF(F7:J7,"&gt;0")+0.5*COUNTIF(F7:J7,0))</f>
        <v>2</v>
      </c>
      <c r="L6" s="12"/>
      <c r="M6" s="94">
        <v>3</v>
      </c>
    </row>
    <row r="7" spans="2:13" customFormat="1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-10</v>
      </c>
      <c r="G7" s="19" t="s">
        <v>5</v>
      </c>
      <c r="H7" s="12">
        <f ca="1">IF(LEN(INDIRECT(ADDRESS(ROW()-1, COLUMN())))=1,"",INDIRECT(ADDRESS(31,6))-INDIRECT(ADDRESS(31,7)))</f>
        <v>7</v>
      </c>
      <c r="I7" s="12">
        <f ca="1">IF(LEN(INDIRECT(ADDRESS(ROW()-1, COLUMN())))=1,"",INDIRECT(ADDRESS(34,7))-INDIRECT(ADDRESS(34,6)))</f>
        <v>5</v>
      </c>
      <c r="J7" s="13">
        <f ca="1">IF(LEN(INDIRECT(ADDRESS(ROW()-1, COLUMN())))=1,"",INDIRECT(ADDRESS(18,6))-INDIRECT(ADDRESS(18,7)))</f>
        <v>-5</v>
      </c>
      <c r="K7" s="93"/>
      <c r="L7" s="12">
        <f ca="1">IF(COUNT(F7:J7)=0,"",SUM(F7:J7))</f>
        <v>-3</v>
      </c>
      <c r="M7" s="94"/>
    </row>
    <row r="8" spans="2:13" customFormat="1" ht="21" x14ac:dyDescent="0.25">
      <c r="B8" s="64">
        <v>3</v>
      </c>
      <c r="C8" s="66" t="s">
        <v>169</v>
      </c>
      <c r="D8" s="67"/>
      <c r="E8" s="68"/>
      <c r="F8" s="14" t="str">
        <f ca="1">INDIRECT(ADDRESS(26,6))&amp;":"&amp;INDIRECT(ADDRESS(26,7))</f>
        <v>9:13</v>
      </c>
      <c r="G8" s="16" t="str">
        <f ca="1">INDIRECT(ADDRESS(31,7))&amp;":"&amp;INDIRECT(ADDRESS(31,6))</f>
        <v>6:13</v>
      </c>
      <c r="H8" s="15" t="s">
        <v>5</v>
      </c>
      <c r="I8" s="16" t="str">
        <f ca="1">INDIRECT(ADDRESS(19,6))&amp;":"&amp;INDIRECT(ADDRESS(19,7))</f>
        <v>13:9</v>
      </c>
      <c r="J8" s="17" t="str">
        <f ca="1">INDIRECT(ADDRESS(22,7))&amp;":"&amp;INDIRECT(ADDRESS(22,6))</f>
        <v>13:6</v>
      </c>
      <c r="K8" s="93">
        <f ca="1">IF(COUNT(F9:J9)=0,"",COUNTIF(F9:J9,"&gt;0")+0.5*COUNTIF(F9:J9,0))</f>
        <v>2</v>
      </c>
      <c r="L8" s="12"/>
      <c r="M8" s="94">
        <v>4</v>
      </c>
    </row>
    <row r="9" spans="2:13" customFormat="1" ht="21" x14ac:dyDescent="0.25">
      <c r="B9" s="76"/>
      <c r="C9" s="66"/>
      <c r="D9" s="67"/>
      <c r="E9" s="68"/>
      <c r="F9" s="18">
        <f ca="1">IF(LEN(INDIRECT(ADDRESS(ROW()-1, COLUMN())))=1,"",INDIRECT(ADDRESS(26,6))-INDIRECT(ADDRESS(26,7)))</f>
        <v>-4</v>
      </c>
      <c r="G9" s="12">
        <f ca="1">IF(LEN(INDIRECT(ADDRESS(ROW()-1, COLUMN())))=1,"",INDIRECT(ADDRESS(31,7))-INDIRECT(ADDRESS(31,6)))</f>
        <v>-7</v>
      </c>
      <c r="H9" s="19" t="s">
        <v>5</v>
      </c>
      <c r="I9" s="12">
        <f ca="1">IF(LEN(INDIRECT(ADDRESS(ROW()-1, COLUMN())))=1,"",INDIRECT(ADDRESS(19,6))-INDIRECT(ADDRESS(19,7)))</f>
        <v>4</v>
      </c>
      <c r="J9" s="13">
        <f ca="1">IF(LEN(INDIRECT(ADDRESS(ROW()-1, COLUMN())))=1,"",INDIRECT(ADDRESS(22,7))-INDIRECT(ADDRESS(22,6)))</f>
        <v>7</v>
      </c>
      <c r="K9" s="93"/>
      <c r="L9" s="12">
        <f ca="1">IF(COUNT(F9:J9)=0,"",SUM(F9:J9))</f>
        <v>0</v>
      </c>
      <c r="M9" s="94"/>
    </row>
    <row r="10" spans="2:13" customFormat="1" ht="21" x14ac:dyDescent="0.25">
      <c r="B10" s="64">
        <v>4</v>
      </c>
      <c r="C10" s="66" t="s">
        <v>171</v>
      </c>
      <c r="D10" s="67"/>
      <c r="E10" s="68"/>
      <c r="F10" s="14" t="str">
        <f ca="1">INDIRECT(ADDRESS(30,7))&amp;":"&amp;INDIRECT(ADDRESS(30,6))</f>
        <v>5:13</v>
      </c>
      <c r="G10" s="16" t="str">
        <f ca="1">INDIRECT(ADDRESS(34,6))&amp;":"&amp;INDIRECT(ADDRESS(34,7))</f>
        <v>8:13</v>
      </c>
      <c r="H10" s="16" t="str">
        <f ca="1">INDIRECT(ADDRESS(19,7))&amp;":"&amp;INDIRECT(ADDRESS(19,6))</f>
        <v>9:13</v>
      </c>
      <c r="I10" s="15" t="s">
        <v>5</v>
      </c>
      <c r="J10" s="17" t="str">
        <f ca="1">INDIRECT(ADDRESS(27,6))&amp;":"&amp;INDIRECT(ADDRESS(27,7))</f>
        <v>8:13</v>
      </c>
      <c r="K10" s="93">
        <f ca="1">IF(COUNT(F11:J11)=0,"",COUNTIF(F11:J11,"&gt;0")+0.5*COUNTIF(F11:J11,0))</f>
        <v>0</v>
      </c>
      <c r="L10" s="12"/>
      <c r="M10" s="94">
        <v>5</v>
      </c>
    </row>
    <row r="11" spans="2:13" customFormat="1" ht="21" x14ac:dyDescent="0.25">
      <c r="B11" s="76"/>
      <c r="C11" s="66"/>
      <c r="D11" s="67"/>
      <c r="E11" s="68"/>
      <c r="F11" s="18">
        <f ca="1">IF(LEN(INDIRECT(ADDRESS(ROW()-1, COLUMN())))=1,"",INDIRECT(ADDRESS(30,7))-INDIRECT(ADDRESS(30,6)))</f>
        <v>-8</v>
      </c>
      <c r="G11" s="12">
        <f ca="1">IF(LEN(INDIRECT(ADDRESS(ROW()-1, COLUMN())))=1,"",INDIRECT(ADDRESS(34,6))-INDIRECT(ADDRESS(34,7)))</f>
        <v>-5</v>
      </c>
      <c r="H11" s="12">
        <f ca="1">IF(LEN(INDIRECT(ADDRESS(ROW()-1, COLUMN())))=1,"",INDIRECT(ADDRESS(19,7))-INDIRECT(ADDRESS(19,6)))</f>
        <v>-4</v>
      </c>
      <c r="I11" s="19" t="s">
        <v>5</v>
      </c>
      <c r="J11" s="13">
        <f ca="1">IF(LEN(INDIRECT(ADDRESS(ROW()-1, COLUMN())))=1,"",INDIRECT(ADDRESS(27,6))-INDIRECT(ADDRESS(27,7)))</f>
        <v>-5</v>
      </c>
      <c r="K11" s="93"/>
      <c r="L11" s="12">
        <f ca="1">IF(COUNT(F11:J11)=0,"",SUM(F11:J11))</f>
        <v>-22</v>
      </c>
      <c r="M11" s="94"/>
    </row>
    <row r="12" spans="2:13" customFormat="1" ht="21" x14ac:dyDescent="0.25">
      <c r="B12" s="64">
        <v>5</v>
      </c>
      <c r="C12" s="78" t="s">
        <v>170</v>
      </c>
      <c r="D12" s="79"/>
      <c r="E12" s="80"/>
      <c r="F12" s="14" t="str">
        <f ca="1">INDIRECT(ADDRESS(35,6))&amp;":"&amp;INDIRECT(ADDRESS(35,7))</f>
        <v>13:7</v>
      </c>
      <c r="G12" s="16" t="str">
        <f ca="1">INDIRECT(ADDRESS(18,7))&amp;":"&amp;INDIRECT(ADDRESS(18,6))</f>
        <v>13:8</v>
      </c>
      <c r="H12" s="16" t="str">
        <f ca="1">INDIRECT(ADDRESS(22,6))&amp;":"&amp;INDIRECT(ADDRESS(22,7))</f>
        <v>6:13</v>
      </c>
      <c r="I12" s="16" t="str">
        <f ca="1">INDIRECT(ADDRESS(27,7))&amp;":"&amp;INDIRECT(ADDRESS(27,6))</f>
        <v>13:8</v>
      </c>
      <c r="J12" s="20" t="s">
        <v>5</v>
      </c>
      <c r="K12" s="93">
        <f ca="1">IF(COUNT(F13:J13)=0,"",COUNTIF(F13:J13,"&gt;0")+0.5*COUNTIF(F13:J13,0))</f>
        <v>3</v>
      </c>
      <c r="L12" s="12"/>
      <c r="M12" s="94">
        <v>1</v>
      </c>
    </row>
    <row r="13" spans="2:13" customFormat="1" ht="21.75" thickBot="1" x14ac:dyDescent="0.3">
      <c r="B13" s="65"/>
      <c r="C13" s="117"/>
      <c r="D13" s="118"/>
      <c r="E13" s="119"/>
      <c r="F13" s="21">
        <f ca="1">IF(LEN(INDIRECT(ADDRESS(ROW()-1, COLUMN())))=1,"",INDIRECT(ADDRESS(35,6))-INDIRECT(ADDRESS(35,7)))</f>
        <v>6</v>
      </c>
      <c r="G13" s="22">
        <f ca="1">IF(LEN(INDIRECT(ADDRESS(ROW()-1, COLUMN())))=1,"",INDIRECT(ADDRESS(18,7))-INDIRECT(ADDRESS(18,6)))</f>
        <v>5</v>
      </c>
      <c r="H13" s="22">
        <f ca="1">IF(LEN(INDIRECT(ADDRESS(ROW()-1, COLUMN())))=1,"",INDIRECT(ADDRESS(22,6))-INDIRECT(ADDRESS(22,7)))</f>
        <v>-7</v>
      </c>
      <c r="I13" s="22">
        <f ca="1">IF(LEN(INDIRECT(ADDRESS(ROW()-1, COLUMN())))=1,"",INDIRECT(ADDRESS(27,7))-INDIRECT(ADDRESS(27,6)))</f>
        <v>5</v>
      </c>
      <c r="J13" s="23" t="s">
        <v>5</v>
      </c>
      <c r="K13" s="95"/>
      <c r="L13" s="22">
        <f ca="1">IF(COUNT(F13:J13)=0,"",SUM(F13:J13))</f>
        <v>9</v>
      </c>
      <c r="M13" s="96"/>
    </row>
    <row r="14" spans="2:13" customFormat="1" x14ac:dyDescent="0.25"/>
    <row r="15" spans="2:13" customFormat="1" x14ac:dyDescent="0.25"/>
    <row r="16" spans="2:13" customFormat="1" x14ac:dyDescent="0.25"/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Березнеговская</v>
      </c>
      <c r="D18" s="100"/>
      <c r="E18" s="101"/>
      <c r="F18" s="38">
        <v>8</v>
      </c>
      <c r="G18" s="39">
        <v>13</v>
      </c>
      <c r="H18" s="102" t="str">
        <f ca="1">IF(ISBLANK(INDIRECT(ADDRESS(K18*2+2,3))),"",INDIRECT(ADDRESS(K18*2+2,3)))</f>
        <v>Баринова</v>
      </c>
      <c r="I18" s="100"/>
      <c r="J18" s="100"/>
      <c r="K18" s="37">
        <v>5</v>
      </c>
      <c r="L18" s="40" t="s">
        <v>13</v>
      </c>
      <c r="M18" s="28"/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Кирменская</v>
      </c>
      <c r="D19" s="100"/>
      <c r="E19" s="101"/>
      <c r="F19" s="38">
        <v>13</v>
      </c>
      <c r="G19" s="39">
        <v>9</v>
      </c>
      <c r="H19" s="102" t="str">
        <f ca="1">IF(ISBLANK(INDIRECT(ADDRESS(K19*2+2,3))),"",INDIRECT(ADDRESS(K19*2+2,3)))</f>
        <v>Бугите</v>
      </c>
      <c r="I19" s="100"/>
      <c r="J19" s="100"/>
      <c r="K19" s="37">
        <v>4</v>
      </c>
      <c r="L19" s="40" t="s">
        <v>13</v>
      </c>
      <c r="M19" s="28"/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Баринова</v>
      </c>
      <c r="D22" s="100"/>
      <c r="E22" s="101"/>
      <c r="F22" s="38">
        <v>6</v>
      </c>
      <c r="G22" s="39">
        <v>13</v>
      </c>
      <c r="H22" s="102" t="str">
        <f ca="1">IF(ISBLANK(INDIRECT(ADDRESS(K22*2+2,3))),"",INDIRECT(ADDRESS(K22*2+2,3)))</f>
        <v>Кирменская</v>
      </c>
      <c r="I22" s="100"/>
      <c r="J22" s="100"/>
      <c r="K22" s="37">
        <v>3</v>
      </c>
      <c r="L22" s="40" t="s">
        <v>13</v>
      </c>
      <c r="M22" s="28"/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Алкина</v>
      </c>
      <c r="D23" s="100"/>
      <c r="E23" s="101"/>
      <c r="F23" s="38">
        <v>13</v>
      </c>
      <c r="G23" s="39">
        <v>3</v>
      </c>
      <c r="H23" s="102" t="str">
        <f ca="1">IF(ISBLANK(INDIRECT(ADDRESS(K23*2+2,3))),"",INDIRECT(ADDRESS(K23*2+2,3)))</f>
        <v>Березнеговская</v>
      </c>
      <c r="I23" s="100"/>
      <c r="J23" s="100"/>
      <c r="K23" s="37">
        <v>2</v>
      </c>
      <c r="L23" s="40" t="s">
        <v>13</v>
      </c>
      <c r="M23" s="28"/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Кирменская</v>
      </c>
      <c r="D26" s="100"/>
      <c r="E26" s="101"/>
      <c r="F26" s="38">
        <v>9</v>
      </c>
      <c r="G26" s="39">
        <v>13</v>
      </c>
      <c r="H26" s="102" t="str">
        <f ca="1">IF(ISBLANK(INDIRECT(ADDRESS(K26*2+2,3))),"",INDIRECT(ADDRESS(K26*2+2,3)))</f>
        <v>Алкина</v>
      </c>
      <c r="I26" s="100"/>
      <c r="J26" s="100"/>
      <c r="K26" s="37">
        <v>1</v>
      </c>
      <c r="L26" s="40" t="s">
        <v>13</v>
      </c>
      <c r="M26" s="28"/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Бугите</v>
      </c>
      <c r="D27" s="100"/>
      <c r="E27" s="101"/>
      <c r="F27" s="38">
        <v>8</v>
      </c>
      <c r="G27" s="39">
        <v>13</v>
      </c>
      <c r="H27" s="102" t="str">
        <f ca="1">IF(ISBLANK(INDIRECT(ADDRESS(K27*2+2,3))),"",INDIRECT(ADDRESS(K27*2+2,3)))</f>
        <v>Баринова</v>
      </c>
      <c r="I27" s="100"/>
      <c r="J27" s="100"/>
      <c r="K27" s="37">
        <v>5</v>
      </c>
      <c r="L27" s="40" t="s">
        <v>13</v>
      </c>
      <c r="M27" s="28"/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Алкина</v>
      </c>
      <c r="D30" s="100"/>
      <c r="E30" s="101"/>
      <c r="F30" s="38">
        <v>13</v>
      </c>
      <c r="G30" s="39">
        <v>5</v>
      </c>
      <c r="H30" s="102" t="str">
        <f ca="1">IF(ISBLANK(INDIRECT(ADDRESS(K30*2+2,3))),"",INDIRECT(ADDRESS(K30*2+2,3)))</f>
        <v>Бугите</v>
      </c>
      <c r="I30" s="100"/>
      <c r="J30" s="100"/>
      <c r="K30" s="37">
        <v>4</v>
      </c>
      <c r="L30" s="40" t="s">
        <v>13</v>
      </c>
      <c r="M30" s="28"/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Березнеговская</v>
      </c>
      <c r="D31" s="100"/>
      <c r="E31" s="101"/>
      <c r="F31" s="38">
        <v>13</v>
      </c>
      <c r="G31" s="39">
        <v>6</v>
      </c>
      <c r="H31" s="102" t="str">
        <f ca="1">IF(ISBLANK(INDIRECT(ADDRESS(K31*2+2,3))),"",INDIRECT(ADDRESS(K31*2+2,3)))</f>
        <v>Кирменская</v>
      </c>
      <c r="I31" s="100"/>
      <c r="J31" s="100"/>
      <c r="K31" s="37">
        <v>3</v>
      </c>
      <c r="L31" s="40" t="s">
        <v>13</v>
      </c>
      <c r="M31" s="28"/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Бугите</v>
      </c>
      <c r="D34" s="100"/>
      <c r="E34" s="101"/>
      <c r="F34" s="38">
        <v>8</v>
      </c>
      <c r="G34" s="39">
        <v>13</v>
      </c>
      <c r="H34" s="102" t="str">
        <f ca="1">IF(ISBLANK(INDIRECT(ADDRESS(K34*2+2,3))),"",INDIRECT(ADDRESS(K34*2+2,3)))</f>
        <v>Березнеговская</v>
      </c>
      <c r="I34" s="100"/>
      <c r="J34" s="100"/>
      <c r="K34" s="37">
        <v>2</v>
      </c>
      <c r="L34" s="40" t="s">
        <v>13</v>
      </c>
      <c r="M34" s="28"/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Баринова</v>
      </c>
      <c r="D35" s="100"/>
      <c r="E35" s="101"/>
      <c r="F35" s="38">
        <v>13</v>
      </c>
      <c r="G35" s="39">
        <v>7</v>
      </c>
      <c r="H35" s="102" t="str">
        <f ca="1">IF(ISBLANK(INDIRECT(ADDRESS(K35*2+2,3))),"",INDIRECT(ADDRESS(K35*2+2,3)))</f>
        <v>Алкина</v>
      </c>
      <c r="I35" s="100"/>
      <c r="J35" s="100"/>
      <c r="K35" s="37">
        <v>1</v>
      </c>
      <c r="L35" s="40" t="s">
        <v>13</v>
      </c>
      <c r="M35" s="28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K17" sqref="K17"/>
    </sheetView>
  </sheetViews>
  <sheetFormatPr defaultRowHeight="15" x14ac:dyDescent="0.25"/>
  <cols>
    <col min="1" max="1" width="6.85546875" style="24" customWidth="1"/>
    <col min="2" max="2" width="34" customWidth="1"/>
    <col min="3" max="3" width="15.140625" customWidth="1"/>
    <col min="4" max="4" width="10.7109375" customWidth="1"/>
  </cols>
  <sheetData>
    <row r="1" spans="1:6" s="56" customFormat="1" x14ac:dyDescent="0.25">
      <c r="B1" s="56" t="s">
        <v>172</v>
      </c>
      <c r="C1" s="56" t="s">
        <v>173</v>
      </c>
      <c r="D1" s="56" t="s">
        <v>174</v>
      </c>
      <c r="E1" s="56" t="s">
        <v>175</v>
      </c>
    </row>
    <row r="2" spans="1:6" s="56" customFormat="1" x14ac:dyDescent="0.25"/>
    <row r="3" spans="1:6" x14ac:dyDescent="0.25">
      <c r="A3" s="24">
        <v>1</v>
      </c>
      <c r="B3" t="s">
        <v>176</v>
      </c>
      <c r="C3" t="s">
        <v>88</v>
      </c>
      <c r="D3">
        <v>151</v>
      </c>
      <c r="E3">
        <v>1</v>
      </c>
      <c r="F3" t="s">
        <v>177</v>
      </c>
    </row>
    <row r="4" spans="1:6" x14ac:dyDescent="0.25">
      <c r="A4" s="24">
        <v>2</v>
      </c>
      <c r="B4" t="s">
        <v>146</v>
      </c>
      <c r="C4" t="s">
        <v>88</v>
      </c>
      <c r="D4">
        <v>129</v>
      </c>
      <c r="E4">
        <v>1</v>
      </c>
    </row>
    <row r="5" spans="1:6" x14ac:dyDescent="0.25">
      <c r="A5" s="24">
        <v>3</v>
      </c>
      <c r="B5" t="s">
        <v>181</v>
      </c>
      <c r="C5" t="s">
        <v>19</v>
      </c>
      <c r="D5">
        <v>115</v>
      </c>
      <c r="E5">
        <v>1</v>
      </c>
    </row>
    <row r="6" spans="1:6" x14ac:dyDescent="0.25">
      <c r="A6" s="24">
        <v>4</v>
      </c>
      <c r="B6" t="s">
        <v>108</v>
      </c>
      <c r="C6" t="s">
        <v>189</v>
      </c>
      <c r="D6">
        <v>113</v>
      </c>
      <c r="E6">
        <v>1</v>
      </c>
      <c r="F6" t="s">
        <v>190</v>
      </c>
    </row>
    <row r="7" spans="1:6" x14ac:dyDescent="0.25">
      <c r="A7" s="24">
        <v>5</v>
      </c>
      <c r="B7" t="s">
        <v>191</v>
      </c>
      <c r="C7" t="s">
        <v>192</v>
      </c>
      <c r="D7">
        <v>113</v>
      </c>
      <c r="E7">
        <v>1</v>
      </c>
      <c r="F7" t="s">
        <v>193</v>
      </c>
    </row>
    <row r="8" spans="1:6" x14ac:dyDescent="0.25">
      <c r="A8" s="24">
        <v>6</v>
      </c>
      <c r="B8" t="s">
        <v>187</v>
      </c>
      <c r="C8" t="s">
        <v>19</v>
      </c>
      <c r="D8">
        <v>111</v>
      </c>
      <c r="E8">
        <v>1</v>
      </c>
    </row>
    <row r="9" spans="1:6" x14ac:dyDescent="0.25">
      <c r="A9" s="24">
        <v>7</v>
      </c>
      <c r="B9" t="s">
        <v>197</v>
      </c>
      <c r="C9" t="s">
        <v>189</v>
      </c>
      <c r="D9">
        <v>101</v>
      </c>
      <c r="E9">
        <v>1</v>
      </c>
    </row>
    <row r="10" spans="1:6" x14ac:dyDescent="0.25">
      <c r="A10" s="55">
        <v>8</v>
      </c>
      <c r="B10" s="57" t="s">
        <v>198</v>
      </c>
      <c r="C10" s="57" t="s">
        <v>189</v>
      </c>
      <c r="D10" s="57">
        <v>98</v>
      </c>
      <c r="E10" s="57">
        <v>1</v>
      </c>
    </row>
    <row r="11" spans="1:6" x14ac:dyDescent="0.25">
      <c r="A11" s="24">
        <v>9</v>
      </c>
      <c r="B11" t="s">
        <v>105</v>
      </c>
      <c r="C11" t="s">
        <v>88</v>
      </c>
      <c r="D11">
        <v>96</v>
      </c>
      <c r="E11">
        <v>1</v>
      </c>
    </row>
    <row r="12" spans="1:6" x14ac:dyDescent="0.25">
      <c r="A12" s="24">
        <v>10</v>
      </c>
      <c r="B12" t="s">
        <v>120</v>
      </c>
      <c r="C12" t="s">
        <v>88</v>
      </c>
      <c r="D12">
        <v>87</v>
      </c>
      <c r="E12">
        <v>1</v>
      </c>
    </row>
    <row r="13" spans="1:6" x14ac:dyDescent="0.25">
      <c r="A13" s="24">
        <v>11</v>
      </c>
      <c r="B13" t="s">
        <v>188</v>
      </c>
      <c r="C13" t="s">
        <v>54</v>
      </c>
      <c r="D13">
        <v>68</v>
      </c>
      <c r="E13">
        <v>1</v>
      </c>
    </row>
    <row r="14" spans="1:6" x14ac:dyDescent="0.25">
      <c r="A14" s="24">
        <v>12</v>
      </c>
      <c r="B14" t="s">
        <v>231</v>
      </c>
      <c r="C14" t="s">
        <v>54</v>
      </c>
      <c r="D14">
        <v>46</v>
      </c>
      <c r="E14">
        <v>1</v>
      </c>
    </row>
    <row r="15" spans="1:6" x14ac:dyDescent="0.25">
      <c r="A15" s="24">
        <v>13</v>
      </c>
      <c r="B15" t="s">
        <v>232</v>
      </c>
      <c r="C15" t="s">
        <v>54</v>
      </c>
      <c r="D15">
        <v>27</v>
      </c>
      <c r="E15">
        <v>1</v>
      </c>
    </row>
    <row r="16" spans="1:6" x14ac:dyDescent="0.25">
      <c r="A16" s="24">
        <v>14</v>
      </c>
      <c r="B16" t="s">
        <v>184</v>
      </c>
      <c r="C16" t="s">
        <v>19</v>
      </c>
      <c r="D16">
        <v>26</v>
      </c>
      <c r="E16">
        <v>1</v>
      </c>
      <c r="F16" t="s">
        <v>185</v>
      </c>
    </row>
    <row r="17" spans="1:6" x14ac:dyDescent="0.25">
      <c r="A17" s="24">
        <v>15</v>
      </c>
      <c r="B17" t="s">
        <v>228</v>
      </c>
      <c r="C17" t="s">
        <v>54</v>
      </c>
      <c r="D17">
        <v>16</v>
      </c>
      <c r="E17">
        <v>1</v>
      </c>
    </row>
    <row r="18" spans="1:6" x14ac:dyDescent="0.25">
      <c r="A18" s="24">
        <v>16</v>
      </c>
      <c r="B18" t="s">
        <v>101</v>
      </c>
      <c r="C18" t="s">
        <v>88</v>
      </c>
      <c r="D18">
        <v>0</v>
      </c>
      <c r="E18">
        <v>1</v>
      </c>
    </row>
    <row r="20" spans="1:6" ht="15.75" x14ac:dyDescent="0.25">
      <c r="A20" s="24">
        <v>1</v>
      </c>
      <c r="B20" s="58" t="s">
        <v>233</v>
      </c>
      <c r="C20" t="s">
        <v>88</v>
      </c>
      <c r="D20">
        <v>156</v>
      </c>
      <c r="E20">
        <v>2</v>
      </c>
    </row>
    <row r="21" spans="1:6" x14ac:dyDescent="0.25">
      <c r="A21" s="24">
        <v>2</v>
      </c>
      <c r="B21" t="s">
        <v>183</v>
      </c>
      <c r="C21" t="s">
        <v>19</v>
      </c>
      <c r="D21">
        <v>125</v>
      </c>
      <c r="E21" s="59">
        <v>2</v>
      </c>
    </row>
    <row r="22" spans="1:6" x14ac:dyDescent="0.25">
      <c r="A22" s="24">
        <v>3</v>
      </c>
      <c r="B22" t="s">
        <v>153</v>
      </c>
      <c r="C22" t="s">
        <v>189</v>
      </c>
      <c r="D22">
        <v>124</v>
      </c>
      <c r="E22">
        <v>2</v>
      </c>
    </row>
    <row r="23" spans="1:6" x14ac:dyDescent="0.25">
      <c r="A23" s="24">
        <v>4</v>
      </c>
      <c r="B23" t="s">
        <v>186</v>
      </c>
      <c r="C23" t="s">
        <v>19</v>
      </c>
      <c r="D23">
        <v>115</v>
      </c>
      <c r="E23">
        <v>2</v>
      </c>
    </row>
    <row r="24" spans="1:6" x14ac:dyDescent="0.25">
      <c r="A24" s="24">
        <v>5</v>
      </c>
      <c r="B24" t="s">
        <v>148</v>
      </c>
      <c r="C24" t="s">
        <v>88</v>
      </c>
      <c r="D24">
        <v>112</v>
      </c>
      <c r="E24">
        <v>2</v>
      </c>
      <c r="F24" t="s">
        <v>199</v>
      </c>
    </row>
    <row r="25" spans="1:6" x14ac:dyDescent="0.25">
      <c r="A25" s="24">
        <v>6</v>
      </c>
      <c r="B25" t="s">
        <v>196</v>
      </c>
      <c r="C25" t="s">
        <v>189</v>
      </c>
      <c r="D25">
        <v>103</v>
      </c>
      <c r="E25">
        <v>2</v>
      </c>
    </row>
    <row r="26" spans="1:6" x14ac:dyDescent="0.25">
      <c r="A26" s="24">
        <v>7</v>
      </c>
      <c r="B26" t="s">
        <v>112</v>
      </c>
      <c r="C26" t="s">
        <v>88</v>
      </c>
      <c r="D26">
        <v>99</v>
      </c>
      <c r="E26" s="59">
        <v>2</v>
      </c>
    </row>
    <row r="27" spans="1:6" x14ac:dyDescent="0.25">
      <c r="A27" s="55">
        <v>8</v>
      </c>
      <c r="B27" s="57" t="s">
        <v>194</v>
      </c>
      <c r="C27" s="57" t="s">
        <v>195</v>
      </c>
      <c r="D27" s="57">
        <v>97</v>
      </c>
      <c r="E27" s="57">
        <v>2</v>
      </c>
    </row>
    <row r="28" spans="1:6" x14ac:dyDescent="0.25">
      <c r="A28" s="24">
        <v>9</v>
      </c>
      <c r="B28" t="s">
        <v>109</v>
      </c>
      <c r="C28" t="s">
        <v>88</v>
      </c>
      <c r="D28">
        <v>89</v>
      </c>
      <c r="E28">
        <v>2</v>
      </c>
    </row>
    <row r="29" spans="1:6" x14ac:dyDescent="0.25">
      <c r="A29" s="24">
        <v>10</v>
      </c>
      <c r="B29" t="s">
        <v>182</v>
      </c>
      <c r="C29" t="s">
        <v>19</v>
      </c>
      <c r="D29">
        <v>88</v>
      </c>
      <c r="E29" s="59">
        <v>2</v>
      </c>
    </row>
    <row r="30" spans="1:6" x14ac:dyDescent="0.25">
      <c r="A30" s="24">
        <v>11</v>
      </c>
      <c r="B30" t="s">
        <v>149</v>
      </c>
      <c r="C30" t="s">
        <v>88</v>
      </c>
      <c r="D30">
        <v>60</v>
      </c>
      <c r="E30">
        <v>2</v>
      </c>
    </row>
    <row r="31" spans="1:6" x14ac:dyDescent="0.25">
      <c r="A31" s="24">
        <v>12</v>
      </c>
      <c r="B31" t="s">
        <v>229</v>
      </c>
      <c r="C31" t="s">
        <v>54</v>
      </c>
      <c r="D31">
        <v>58</v>
      </c>
      <c r="E31">
        <v>2</v>
      </c>
    </row>
    <row r="32" spans="1:6" x14ac:dyDescent="0.25">
      <c r="A32" s="24">
        <v>13</v>
      </c>
      <c r="B32" t="s">
        <v>230</v>
      </c>
      <c r="C32" t="s">
        <v>54</v>
      </c>
      <c r="D32">
        <v>36</v>
      </c>
      <c r="E32">
        <v>2</v>
      </c>
    </row>
    <row r="33" spans="1:8" x14ac:dyDescent="0.25">
      <c r="A33" s="24">
        <v>14</v>
      </c>
      <c r="B33" t="s">
        <v>125</v>
      </c>
      <c r="C33" t="s">
        <v>88</v>
      </c>
      <c r="D33">
        <v>26</v>
      </c>
      <c r="E33">
        <v>2</v>
      </c>
    </row>
    <row r="34" spans="1:8" x14ac:dyDescent="0.25">
      <c r="A34" s="24">
        <v>15</v>
      </c>
      <c r="B34" t="s">
        <v>178</v>
      </c>
      <c r="C34" t="s">
        <v>179</v>
      </c>
      <c r="D34">
        <v>0</v>
      </c>
      <c r="E34">
        <v>2</v>
      </c>
    </row>
    <row r="35" spans="1:8" x14ac:dyDescent="0.25">
      <c r="A35" s="24">
        <v>16</v>
      </c>
      <c r="B35" t="s">
        <v>180</v>
      </c>
      <c r="C35" t="s">
        <v>179</v>
      </c>
      <c r="D35">
        <v>0</v>
      </c>
      <c r="E35">
        <v>2</v>
      </c>
    </row>
    <row r="37" spans="1:8" x14ac:dyDescent="0.25">
      <c r="B37" t="s">
        <v>200</v>
      </c>
    </row>
    <row r="38" spans="1:8" x14ac:dyDescent="0.25">
      <c r="A38" s="24" t="s">
        <v>201</v>
      </c>
      <c r="B38" t="s">
        <v>172</v>
      </c>
      <c r="C38" t="s">
        <v>202</v>
      </c>
      <c r="D38" t="s">
        <v>203</v>
      </c>
      <c r="E38" t="s">
        <v>204</v>
      </c>
      <c r="F38" t="s">
        <v>205</v>
      </c>
      <c r="G38" t="s">
        <v>206</v>
      </c>
      <c r="H38" t="s">
        <v>174</v>
      </c>
    </row>
    <row r="39" spans="1:8" x14ac:dyDescent="0.25">
      <c r="A39" s="24">
        <v>1</v>
      </c>
      <c r="B39" t="s">
        <v>148</v>
      </c>
      <c r="C39">
        <f>3/5*100</f>
        <v>60</v>
      </c>
      <c r="D39">
        <v>0</v>
      </c>
      <c r="E39">
        <f>9/5</f>
        <v>1.8</v>
      </c>
      <c r="F39">
        <f>56/5</f>
        <v>11.2</v>
      </c>
      <c r="G39" t="s">
        <v>207</v>
      </c>
      <c r="H39">
        <v>112</v>
      </c>
    </row>
    <row r="40" spans="1:8" x14ac:dyDescent="0.25">
      <c r="A40" s="24">
        <v>2</v>
      </c>
      <c r="B40" t="s">
        <v>100</v>
      </c>
      <c r="C40">
        <f>3/5*100</f>
        <v>60</v>
      </c>
      <c r="D40">
        <v>0</v>
      </c>
      <c r="E40">
        <f>2/5</f>
        <v>0.4</v>
      </c>
      <c r="F40">
        <f>53/5</f>
        <v>10.6</v>
      </c>
      <c r="G40" t="s">
        <v>208</v>
      </c>
      <c r="H40">
        <v>109</v>
      </c>
    </row>
    <row r="41" spans="1:8" x14ac:dyDescent="0.25">
      <c r="A41" s="24">
        <v>3</v>
      </c>
      <c r="B41" t="s">
        <v>118</v>
      </c>
      <c r="C41">
        <f>2/4*100</f>
        <v>50</v>
      </c>
      <c r="D41">
        <v>0</v>
      </c>
      <c r="E41">
        <f>12/4</f>
        <v>3</v>
      </c>
      <c r="F41">
        <f>40/4</f>
        <v>10</v>
      </c>
      <c r="G41" t="s">
        <v>209</v>
      </c>
      <c r="H41">
        <v>92</v>
      </c>
    </row>
    <row r="42" spans="1:8" x14ac:dyDescent="0.25">
      <c r="A42" s="24">
        <v>4</v>
      </c>
      <c r="B42" t="s">
        <v>106</v>
      </c>
      <c r="C42">
        <f>2/4*100</f>
        <v>50</v>
      </c>
      <c r="D42">
        <v>0</v>
      </c>
      <c r="E42">
        <f>-11/4</f>
        <v>-2.75</v>
      </c>
      <c r="F42">
        <f>31/4</f>
        <v>7.75</v>
      </c>
      <c r="G42" t="s">
        <v>210</v>
      </c>
      <c r="H42">
        <v>109</v>
      </c>
    </row>
    <row r="43" spans="1:8" x14ac:dyDescent="0.25">
      <c r="A43" s="24">
        <v>5</v>
      </c>
      <c r="B43" t="s">
        <v>123</v>
      </c>
      <c r="C43">
        <f>1/4*100</f>
        <v>25</v>
      </c>
      <c r="D43">
        <v>0</v>
      </c>
      <c r="E43">
        <f>-9/4</f>
        <v>-2.25</v>
      </c>
      <c r="F43">
        <f>31/4</f>
        <v>7.75</v>
      </c>
      <c r="G43" t="s">
        <v>211</v>
      </c>
      <c r="H43">
        <v>81</v>
      </c>
    </row>
  </sheetData>
  <sortState ref="A3:H34">
    <sortCondition ref="E3:E34"/>
    <sortCondition descending="1" ref="D3:D34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18" sqref="I18"/>
    </sheetView>
  </sheetViews>
  <sheetFormatPr defaultRowHeight="15" x14ac:dyDescent="0.25"/>
  <cols>
    <col min="1" max="1" width="9.140625" style="24"/>
    <col min="2" max="2" width="21.42578125" customWidth="1"/>
    <col min="3" max="3" width="15.7109375" customWidth="1"/>
  </cols>
  <sheetData>
    <row r="1" spans="1:6" s="56" customFormat="1" x14ac:dyDescent="0.25">
      <c r="B1" s="56" t="s">
        <v>172</v>
      </c>
      <c r="C1" s="56" t="s">
        <v>173</v>
      </c>
      <c r="D1" s="56" t="s">
        <v>174</v>
      </c>
    </row>
    <row r="3" spans="1:6" x14ac:dyDescent="0.25">
      <c r="A3" s="24">
        <v>1</v>
      </c>
      <c r="B3" t="s">
        <v>215</v>
      </c>
      <c r="C3" t="s">
        <v>19</v>
      </c>
      <c r="D3">
        <v>133</v>
      </c>
    </row>
    <row r="4" spans="1:6" x14ac:dyDescent="0.25">
      <c r="A4" s="24">
        <v>2</v>
      </c>
      <c r="B4" t="s">
        <v>113</v>
      </c>
      <c r="C4" t="s">
        <v>88</v>
      </c>
      <c r="D4">
        <v>117</v>
      </c>
    </row>
    <row r="5" spans="1:6" x14ac:dyDescent="0.25">
      <c r="A5" s="24">
        <v>3</v>
      </c>
      <c r="B5" t="s">
        <v>141</v>
      </c>
      <c r="C5" t="s">
        <v>88</v>
      </c>
      <c r="D5">
        <v>114</v>
      </c>
    </row>
    <row r="6" spans="1:6" x14ac:dyDescent="0.25">
      <c r="A6" s="24">
        <v>4</v>
      </c>
      <c r="B6" t="s">
        <v>221</v>
      </c>
      <c r="C6" t="s">
        <v>189</v>
      </c>
      <c r="D6">
        <v>113</v>
      </c>
    </row>
    <row r="7" spans="1:6" x14ac:dyDescent="0.25">
      <c r="A7" s="24">
        <v>5</v>
      </c>
      <c r="B7" t="s">
        <v>218</v>
      </c>
      <c r="C7" t="s">
        <v>88</v>
      </c>
      <c r="D7">
        <v>111</v>
      </c>
    </row>
    <row r="8" spans="1:6" x14ac:dyDescent="0.25">
      <c r="A8" s="24">
        <v>6</v>
      </c>
      <c r="B8" t="s">
        <v>116</v>
      </c>
      <c r="C8" t="s">
        <v>88</v>
      </c>
      <c r="D8">
        <v>94</v>
      </c>
    </row>
    <row r="9" spans="1:6" x14ac:dyDescent="0.25">
      <c r="A9" s="24">
        <v>7</v>
      </c>
      <c r="B9" t="s">
        <v>98</v>
      </c>
      <c r="C9" t="s">
        <v>88</v>
      </c>
      <c r="D9">
        <v>90</v>
      </c>
    </row>
    <row r="10" spans="1:6" x14ac:dyDescent="0.25">
      <c r="A10" s="55">
        <v>8</v>
      </c>
      <c r="B10" s="57" t="s">
        <v>212</v>
      </c>
      <c r="C10" s="57" t="s">
        <v>88</v>
      </c>
      <c r="D10" s="57">
        <v>89</v>
      </c>
      <c r="F10" t="s">
        <v>177</v>
      </c>
    </row>
    <row r="11" spans="1:6" x14ac:dyDescent="0.25">
      <c r="A11" s="24">
        <v>9</v>
      </c>
      <c r="B11" t="s">
        <v>213</v>
      </c>
      <c r="C11" t="s">
        <v>19</v>
      </c>
      <c r="D11">
        <v>84</v>
      </c>
    </row>
    <row r="12" spans="1:6" x14ac:dyDescent="0.25">
      <c r="A12" s="24">
        <v>10</v>
      </c>
      <c r="B12" t="s">
        <v>219</v>
      </c>
      <c r="C12" t="s">
        <v>195</v>
      </c>
      <c r="D12">
        <v>83</v>
      </c>
    </row>
    <row r="13" spans="1:6" x14ac:dyDescent="0.25">
      <c r="A13" s="24">
        <v>11</v>
      </c>
      <c r="B13" t="s">
        <v>217</v>
      </c>
      <c r="C13" t="s">
        <v>19</v>
      </c>
      <c r="D13">
        <v>80</v>
      </c>
    </row>
    <row r="14" spans="1:6" x14ac:dyDescent="0.25">
      <c r="A14" s="24">
        <v>12</v>
      </c>
      <c r="B14" t="s">
        <v>220</v>
      </c>
      <c r="C14" t="s">
        <v>195</v>
      </c>
      <c r="D14">
        <v>78</v>
      </c>
    </row>
    <row r="15" spans="1:6" x14ac:dyDescent="0.25">
      <c r="A15" s="24">
        <v>13</v>
      </c>
      <c r="B15" t="s">
        <v>214</v>
      </c>
      <c r="C15" t="s">
        <v>19</v>
      </c>
      <c r="D15">
        <v>73</v>
      </c>
    </row>
    <row r="16" spans="1:6" x14ac:dyDescent="0.25">
      <c r="A16" s="24">
        <v>14</v>
      </c>
      <c r="B16" t="s">
        <v>222</v>
      </c>
      <c r="C16" t="s">
        <v>189</v>
      </c>
      <c r="D16">
        <v>69</v>
      </c>
    </row>
    <row r="17" spans="1:8" x14ac:dyDescent="0.25">
      <c r="A17" s="24">
        <v>15</v>
      </c>
      <c r="B17" t="s">
        <v>142</v>
      </c>
      <c r="C17" t="s">
        <v>88</v>
      </c>
      <c r="D17">
        <v>46</v>
      </c>
    </row>
    <row r="18" spans="1:8" x14ac:dyDescent="0.25">
      <c r="A18" s="24">
        <v>16</v>
      </c>
      <c r="B18" t="s">
        <v>216</v>
      </c>
      <c r="C18" t="s">
        <v>19</v>
      </c>
      <c r="D18">
        <v>42</v>
      </c>
    </row>
    <row r="19" spans="1:8" x14ac:dyDescent="0.25">
      <c r="A19" s="24">
        <v>17</v>
      </c>
      <c r="B19" t="s">
        <v>62</v>
      </c>
      <c r="C19" t="s">
        <v>54</v>
      </c>
      <c r="D19">
        <v>14</v>
      </c>
    </row>
    <row r="20" spans="1:8" x14ac:dyDescent="0.25">
      <c r="A20" s="24">
        <v>18</v>
      </c>
      <c r="B20" t="s">
        <v>55</v>
      </c>
      <c r="C20" t="s">
        <v>54</v>
      </c>
      <c r="D20">
        <v>11</v>
      </c>
    </row>
    <row r="21" spans="1:8" x14ac:dyDescent="0.25">
      <c r="A21" s="24">
        <v>19</v>
      </c>
      <c r="B21" t="s">
        <v>226</v>
      </c>
      <c r="C21" t="s">
        <v>19</v>
      </c>
      <c r="D21">
        <v>0</v>
      </c>
    </row>
    <row r="22" spans="1:8" x14ac:dyDescent="0.25">
      <c r="A22" s="24">
        <v>20</v>
      </c>
      <c r="B22" t="s">
        <v>56</v>
      </c>
      <c r="C22" t="s">
        <v>54</v>
      </c>
      <c r="D22">
        <v>0</v>
      </c>
    </row>
    <row r="23" spans="1:8" x14ac:dyDescent="0.25">
      <c r="A23" s="24">
        <v>21</v>
      </c>
      <c r="B23" t="s">
        <v>61</v>
      </c>
      <c r="C23" t="s">
        <v>54</v>
      </c>
      <c r="D23">
        <v>0</v>
      </c>
    </row>
    <row r="24" spans="1:8" x14ac:dyDescent="0.25">
      <c r="A24" s="24">
        <v>22</v>
      </c>
      <c r="B24" t="s">
        <v>66</v>
      </c>
      <c r="C24" t="s">
        <v>54</v>
      </c>
      <c r="D24">
        <v>0</v>
      </c>
    </row>
    <row r="26" spans="1:8" x14ac:dyDescent="0.25">
      <c r="B26" t="s">
        <v>200</v>
      </c>
    </row>
    <row r="27" spans="1:8" x14ac:dyDescent="0.25">
      <c r="A27" s="24" t="s">
        <v>201</v>
      </c>
      <c r="B27" t="s">
        <v>172</v>
      </c>
      <c r="C27" t="s">
        <v>202</v>
      </c>
      <c r="D27" t="s">
        <v>203</v>
      </c>
      <c r="E27" t="s">
        <v>204</v>
      </c>
      <c r="F27" t="s">
        <v>205</v>
      </c>
      <c r="G27" t="s">
        <v>206</v>
      </c>
      <c r="H27" t="s">
        <v>227</v>
      </c>
    </row>
    <row r="28" spans="1:8" x14ac:dyDescent="0.25">
      <c r="A28" s="24">
        <v>1</v>
      </c>
      <c r="B28" t="s">
        <v>144</v>
      </c>
      <c r="C28">
        <f>2/4*100</f>
        <v>50</v>
      </c>
      <c r="D28">
        <v>0</v>
      </c>
      <c r="E28">
        <f>10/4</f>
        <v>2.5</v>
      </c>
      <c r="F28">
        <f>46/4</f>
        <v>11.5</v>
      </c>
      <c r="G28" t="s">
        <v>223</v>
      </c>
      <c r="H28">
        <v>0</v>
      </c>
    </row>
    <row r="29" spans="1:8" x14ac:dyDescent="0.25">
      <c r="A29" s="24">
        <v>2</v>
      </c>
      <c r="B29" t="s">
        <v>114</v>
      </c>
      <c r="C29">
        <f>2/4*100</f>
        <v>50</v>
      </c>
      <c r="D29">
        <v>0</v>
      </c>
      <c r="E29">
        <f>3/4</f>
        <v>0.75</v>
      </c>
      <c r="F29">
        <f>48/4</f>
        <v>12</v>
      </c>
      <c r="G29" t="s">
        <v>224</v>
      </c>
      <c r="H29">
        <v>129</v>
      </c>
    </row>
    <row r="30" spans="1:8" x14ac:dyDescent="0.25">
      <c r="A30" s="24">
        <v>3</v>
      </c>
      <c r="B30" t="s">
        <v>97</v>
      </c>
      <c r="C30">
        <f>2/5*100</f>
        <v>40</v>
      </c>
      <c r="D30">
        <v>0</v>
      </c>
      <c r="E30">
        <f>-8/5</f>
        <v>-1.6</v>
      </c>
      <c r="F30">
        <f>49/5</f>
        <v>9.8000000000000007</v>
      </c>
      <c r="G30" t="s">
        <v>225</v>
      </c>
      <c r="H30">
        <v>0</v>
      </c>
    </row>
  </sheetData>
  <sortState ref="A3:H24">
    <sortCondition descending="1" ref="D3:D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1" sqref="B1:M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46.5" x14ac:dyDescent="0.25">
      <c r="B1" s="84" t="s">
        <v>27</v>
      </c>
      <c r="C1" s="84"/>
      <c r="D1" s="84"/>
      <c r="E1" s="84"/>
      <c r="F1" s="84"/>
      <c r="G1" s="84"/>
      <c r="H1" s="84"/>
      <c r="I1" s="84"/>
      <c r="J1" s="84"/>
      <c r="K1" s="84"/>
      <c r="L1" s="33" t="s">
        <v>26</v>
      </c>
      <c r="M1" t="s">
        <v>20</v>
      </c>
    </row>
    <row r="2" spans="2:13" ht="15.75" thickBot="1" x14ac:dyDescent="0.3">
      <c r="M2"/>
    </row>
    <row r="3" spans="2:13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ht="21" x14ac:dyDescent="0.25">
      <c r="B4" s="88">
        <v>1</v>
      </c>
      <c r="C4" s="89" t="s">
        <v>21</v>
      </c>
      <c r="D4" s="90"/>
      <c r="E4" s="91"/>
      <c r="F4" s="7" t="s">
        <v>5</v>
      </c>
      <c r="G4" s="8" t="str">
        <f ca="1">INDIRECT(ADDRESS(23,6))&amp;":"&amp;INDIRECT(ADDRESS(23,7))</f>
        <v>13:5</v>
      </c>
      <c r="H4" s="8" t="str">
        <f ca="1">INDIRECT(ADDRESS(26,7))&amp;":"&amp;INDIRECT(ADDRESS(26,6))</f>
        <v>13:7</v>
      </c>
      <c r="I4" s="8" t="str">
        <f ca="1">INDIRECT(ADDRESS(30,6))&amp;":"&amp;INDIRECT(ADDRESS(30,7))</f>
        <v>13:12</v>
      </c>
      <c r="J4" s="9" t="str">
        <f ca="1">INDIRECT(ADDRESS(35,7))&amp;":"&amp;INDIRECT(ADDRESS(35,6))</f>
        <v>13:2</v>
      </c>
      <c r="K4" s="99">
        <f ca="1">IF(COUNT(F5:J5)=0,"",COUNTIF(F5:J5,"&gt;0")+0.5*COUNTIF(F5:J5,0))</f>
        <v>4</v>
      </c>
      <c r="L4" s="10"/>
      <c r="M4" s="98">
        <v>1</v>
      </c>
    </row>
    <row r="5" spans="2:13" ht="2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COLUMN())))=1,"",INDIRECT(ADDRESS(23,6))-INDIRECT(ADDRESS(23,7)))</f>
        <v>8</v>
      </c>
      <c r="H5" s="12">
        <f ca="1">IF(LEN(INDIRECT(ADDRESS(ROW()-1, COLUMN())))=1,"",INDIRECT(ADDRESS(26,7))-INDIRECT(ADDRESS(26,6)))</f>
        <v>6</v>
      </c>
      <c r="I5" s="12">
        <f ca="1">IF(LEN(INDIRECT(ADDRESS(ROW()-1, COLUMN())))=1,"",INDIRECT(ADDRESS(30,6))-INDIRECT(ADDRESS(30,7)))</f>
        <v>1</v>
      </c>
      <c r="J5" s="13">
        <f ca="1">IF(LEN(INDIRECT(ADDRESS(ROW()-1, COLUMN())))=1,"",INDIRECT(ADDRESS(35,7))-INDIRECT(ADDRESS(35,6)))</f>
        <v>11</v>
      </c>
      <c r="K5" s="93"/>
      <c r="L5" s="12">
        <f ca="1">IF(COUNT(F5:J5)=0,"",SUM(F5:J5))</f>
        <v>26</v>
      </c>
      <c r="M5" s="97"/>
    </row>
    <row r="6" spans="2:13" ht="21" x14ac:dyDescent="0.25">
      <c r="B6" s="64">
        <v>2</v>
      </c>
      <c r="C6" s="78" t="s">
        <v>22</v>
      </c>
      <c r="D6" s="79"/>
      <c r="E6" s="80"/>
      <c r="F6" s="14" t="str">
        <f ca="1">INDIRECT(ADDRESS(23,7))&amp;":"&amp;INDIRECT(ADDRESS(23,6))</f>
        <v>5:13</v>
      </c>
      <c r="G6" s="15" t="s">
        <v>5</v>
      </c>
      <c r="H6" s="16" t="str">
        <f ca="1">INDIRECT(ADDRESS(31,6))&amp;":"&amp;INDIRECT(ADDRESS(31,7))</f>
        <v>13:12</v>
      </c>
      <c r="I6" s="16" t="str">
        <f ca="1">INDIRECT(ADDRESS(34,7))&amp;":"&amp;INDIRECT(ADDRESS(34,6))</f>
        <v>13:12</v>
      </c>
      <c r="J6" s="17" t="str">
        <f ca="1">INDIRECT(ADDRESS(18,6))&amp;":"&amp;INDIRECT(ADDRESS(18,7))</f>
        <v>13:7</v>
      </c>
      <c r="K6" s="93">
        <f ca="1">IF(COUNT(F7:J7)=0,"",COUNTIF(F7:J7,"&gt;0")+0.5*COUNTIF(F7:J7,0))</f>
        <v>3</v>
      </c>
      <c r="L6" s="12"/>
      <c r="M6" s="97">
        <v>2</v>
      </c>
    </row>
    <row r="7" spans="2:13" ht="21" x14ac:dyDescent="0.25">
      <c r="B7" s="76"/>
      <c r="C7" s="78"/>
      <c r="D7" s="79"/>
      <c r="E7" s="80"/>
      <c r="F7" s="18">
        <f ca="1">IF(LEN(INDIRECT(ADDRESS(ROW()-1, COLUMN())))=1,"",INDIRECT(ADDRESS(23,7))-INDIRECT(ADDRESS(23,6)))</f>
        <v>-8</v>
      </c>
      <c r="G7" s="19" t="s">
        <v>5</v>
      </c>
      <c r="H7" s="12">
        <f ca="1">IF(LEN(INDIRECT(ADDRESS(ROW()-1, COLUMN())))=1,"",INDIRECT(ADDRESS(31,6))-INDIRECT(ADDRESS(31,7)))</f>
        <v>1</v>
      </c>
      <c r="I7" s="12">
        <f ca="1">IF(LEN(INDIRECT(ADDRESS(ROW()-1, COLUMN())))=1,"",INDIRECT(ADDRESS(34,7))-INDIRECT(ADDRESS(34,6)))</f>
        <v>1</v>
      </c>
      <c r="J7" s="13">
        <f ca="1">IF(LEN(INDIRECT(ADDRESS(ROW()-1, COLUMN())))=1,"",INDIRECT(ADDRESS(18,6))-INDIRECT(ADDRESS(18,7)))</f>
        <v>6</v>
      </c>
      <c r="K7" s="93"/>
      <c r="L7" s="12">
        <f ca="1">IF(COUNT(F7:J7)=0,"",SUM(F7:J7))</f>
        <v>0</v>
      </c>
      <c r="M7" s="97"/>
    </row>
    <row r="8" spans="2:13" ht="21" x14ac:dyDescent="0.25">
      <c r="B8" s="64">
        <v>3</v>
      </c>
      <c r="C8" s="66" t="s">
        <v>23</v>
      </c>
      <c r="D8" s="67"/>
      <c r="E8" s="68"/>
      <c r="F8" s="14" t="str">
        <f ca="1">INDIRECT(ADDRESS(26,6))&amp;":"&amp;INDIRECT(ADDRESS(26,7))</f>
        <v>7:13</v>
      </c>
      <c r="G8" s="16" t="str">
        <f ca="1">INDIRECT(ADDRESS(31,7))&amp;":"&amp;INDIRECT(ADDRESS(31,6))</f>
        <v>12:13</v>
      </c>
      <c r="H8" s="15" t="s">
        <v>5</v>
      </c>
      <c r="I8" s="16" t="str">
        <f ca="1">INDIRECT(ADDRESS(19,6))&amp;":"&amp;INDIRECT(ADDRESS(19,7))</f>
        <v>13:0</v>
      </c>
      <c r="J8" s="17" t="str">
        <f ca="1">INDIRECT(ADDRESS(22,7))&amp;":"&amp;INDIRECT(ADDRESS(22,6))</f>
        <v>13:8</v>
      </c>
      <c r="K8" s="93">
        <f ca="1">IF(COUNT(F9:J9)=0,"",COUNTIF(F9:J9,"&gt;0")+0.5*COUNTIF(F9:J9,0))</f>
        <v>2</v>
      </c>
      <c r="L8" s="12"/>
      <c r="M8" s="94">
        <v>3</v>
      </c>
    </row>
    <row r="9" spans="2:13" ht="21" x14ac:dyDescent="0.25">
      <c r="B9" s="76"/>
      <c r="C9" s="66"/>
      <c r="D9" s="67"/>
      <c r="E9" s="68"/>
      <c r="F9" s="18">
        <f ca="1">IF(LEN(INDIRECT(ADDRESS(ROW()-1, COLUMN())))=1,"",INDIRECT(ADDRESS(26,6))-INDIRECT(ADDRESS(26,7)))</f>
        <v>-6</v>
      </c>
      <c r="G9" s="12">
        <f ca="1">IF(LEN(INDIRECT(ADDRESS(ROW()-1, COLUMN())))=1,"",INDIRECT(ADDRESS(31,7))-INDIRECT(ADDRESS(31,6)))</f>
        <v>-1</v>
      </c>
      <c r="H9" s="19" t="s">
        <v>5</v>
      </c>
      <c r="I9" s="12">
        <f ca="1">IF(LEN(INDIRECT(ADDRESS(ROW()-1, COLUMN())))=1,"",INDIRECT(ADDRESS(19,6))-INDIRECT(ADDRESS(19,7)))</f>
        <v>13</v>
      </c>
      <c r="J9" s="13">
        <f ca="1">IF(LEN(INDIRECT(ADDRESS(ROW()-1, COLUMN())))=1,"",INDIRECT(ADDRESS(22,7))-INDIRECT(ADDRESS(22,6)))</f>
        <v>5</v>
      </c>
      <c r="K9" s="93"/>
      <c r="L9" s="12">
        <f ca="1">IF(COUNT(F9:J9)=0,"",SUM(F9:J9))</f>
        <v>11</v>
      </c>
      <c r="M9" s="94"/>
    </row>
    <row r="10" spans="2:13" ht="21" x14ac:dyDescent="0.25">
      <c r="B10" s="64">
        <v>4</v>
      </c>
      <c r="C10" s="66" t="s">
        <v>24</v>
      </c>
      <c r="D10" s="67"/>
      <c r="E10" s="68"/>
      <c r="F10" s="14" t="str">
        <f ca="1">INDIRECT(ADDRESS(30,7))&amp;":"&amp;INDIRECT(ADDRESS(30,6))</f>
        <v>12:13</v>
      </c>
      <c r="G10" s="16" t="str">
        <f ca="1">INDIRECT(ADDRESS(34,6))&amp;":"&amp;INDIRECT(ADDRESS(34,7))</f>
        <v>12:13</v>
      </c>
      <c r="H10" s="16" t="str">
        <f ca="1">INDIRECT(ADDRESS(19,7))&amp;":"&amp;INDIRECT(ADDRESS(19,6))</f>
        <v>0:13</v>
      </c>
      <c r="I10" s="15" t="s">
        <v>5</v>
      </c>
      <c r="J10" s="17" t="str">
        <f ca="1">INDIRECT(ADDRESS(27,6))&amp;":"&amp;INDIRECT(ADDRESS(27,7))</f>
        <v>13:10</v>
      </c>
      <c r="K10" s="93">
        <f ca="1">IF(COUNT(F11:J11)=0,"",COUNTIF(F11:J11,"&gt;0")+0.5*COUNTIF(F11:J11,0))</f>
        <v>1</v>
      </c>
      <c r="L10" s="12"/>
      <c r="M10" s="94">
        <v>4</v>
      </c>
    </row>
    <row r="11" spans="2:13" ht="21" x14ac:dyDescent="0.25">
      <c r="B11" s="76"/>
      <c r="C11" s="66"/>
      <c r="D11" s="67"/>
      <c r="E11" s="68"/>
      <c r="F11" s="18">
        <f ca="1">IF(LEN(INDIRECT(ADDRESS(ROW()-1, COLUMN())))=1,"",INDIRECT(ADDRESS(30,7))-INDIRECT(ADDRESS(30,6)))</f>
        <v>-1</v>
      </c>
      <c r="G11" s="12">
        <f ca="1">IF(LEN(INDIRECT(ADDRESS(ROW()-1, COLUMN())))=1,"",INDIRECT(ADDRESS(34,6))-INDIRECT(ADDRESS(34,7)))</f>
        <v>-1</v>
      </c>
      <c r="H11" s="12">
        <f ca="1">IF(LEN(INDIRECT(ADDRESS(ROW()-1, COLUMN())))=1,"",INDIRECT(ADDRESS(19,7))-INDIRECT(ADDRESS(19,6)))</f>
        <v>-13</v>
      </c>
      <c r="I11" s="19" t="s">
        <v>5</v>
      </c>
      <c r="J11" s="13">
        <f ca="1">IF(LEN(INDIRECT(ADDRESS(ROW()-1, COLUMN())))=1,"",INDIRECT(ADDRESS(27,6))-INDIRECT(ADDRESS(27,7)))</f>
        <v>3</v>
      </c>
      <c r="K11" s="93"/>
      <c r="L11" s="12">
        <f ca="1">IF(COUNT(F11:J11)=0,"",SUM(F11:J11))</f>
        <v>-12</v>
      </c>
      <c r="M11" s="94"/>
    </row>
    <row r="12" spans="2:13" ht="21" x14ac:dyDescent="0.25">
      <c r="B12" s="64">
        <v>5</v>
      </c>
      <c r="C12" s="66" t="s">
        <v>25</v>
      </c>
      <c r="D12" s="67"/>
      <c r="E12" s="68"/>
      <c r="F12" s="14" t="str">
        <f ca="1">INDIRECT(ADDRESS(35,6))&amp;":"&amp;INDIRECT(ADDRESS(35,7))</f>
        <v>2:13</v>
      </c>
      <c r="G12" s="16" t="str">
        <f ca="1">INDIRECT(ADDRESS(18,7))&amp;":"&amp;INDIRECT(ADDRESS(18,6))</f>
        <v>7:13</v>
      </c>
      <c r="H12" s="16" t="str">
        <f ca="1">INDIRECT(ADDRESS(22,6))&amp;":"&amp;INDIRECT(ADDRESS(22,7))</f>
        <v>8:13</v>
      </c>
      <c r="I12" s="16" t="str">
        <f ca="1">INDIRECT(ADDRESS(27,7))&amp;":"&amp;INDIRECT(ADDRESS(27,6))</f>
        <v>10:13</v>
      </c>
      <c r="J12" s="20" t="s">
        <v>5</v>
      </c>
      <c r="K12" s="93">
        <f ca="1">IF(COUNT(F13:J13)=0,"",COUNTIF(F13:J13,"&gt;0")+0.5*COUNTIF(F13:J13,0))</f>
        <v>0</v>
      </c>
      <c r="L12" s="12"/>
      <c r="M12" s="94">
        <v>5</v>
      </c>
    </row>
    <row r="13" spans="2:13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-11</v>
      </c>
      <c r="G13" s="22">
        <f ca="1">IF(LEN(INDIRECT(ADDRESS(ROW()-1, COLUMN())))=1,"",INDIRECT(ADDRESS(18,7))-INDIRECT(ADDRESS(18,6)))</f>
        <v>-6</v>
      </c>
      <c r="H13" s="22">
        <f ca="1">IF(LEN(INDIRECT(ADDRESS(ROW()-1, COLUMN())))=1,"",INDIRECT(ADDRESS(22,6))-INDIRECT(ADDRESS(22,7)))</f>
        <v>-5</v>
      </c>
      <c r="I13" s="22">
        <f ca="1">IF(LEN(INDIRECT(ADDRESS(ROW()-1, COLUMN())))=1,"",INDIRECT(ADDRESS(27,7))-INDIRECT(ADDRESS(27,6)))</f>
        <v>-3</v>
      </c>
      <c r="J13" s="23" t="s">
        <v>5</v>
      </c>
      <c r="K13" s="95"/>
      <c r="L13" s="22">
        <f ca="1">IF(COUNT(F13:J13)=0,"",SUM(F13:J13))</f>
        <v>-25</v>
      </c>
      <c r="M13" s="96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2:13" ht="21.75" thickBot="1" x14ac:dyDescent="0.3"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13" ht="19.5" thickBot="1" x14ac:dyDescent="0.3">
      <c r="B18" s="24">
        <v>2</v>
      </c>
      <c r="C18" s="60" t="str">
        <f ca="1">IF(ISBLANK(INDIRECT(ADDRESS(B18*2+2,3))),"",INDIRECT(ADDRESS(B18*2+2,3)))</f>
        <v>Северов</v>
      </c>
      <c r="D18" s="60"/>
      <c r="E18" s="61"/>
      <c r="F18" s="25">
        <v>13</v>
      </c>
      <c r="G18" s="26">
        <v>7</v>
      </c>
      <c r="H18" s="62" t="str">
        <f ca="1">IF(ISBLANK(INDIRECT(ADDRESS(K18*2+2,3))),"",INDIRECT(ADDRESS(K18*2+2,3)))</f>
        <v>Бацманов</v>
      </c>
      <c r="I18" s="60"/>
      <c r="J18" s="60"/>
      <c r="K18" s="24">
        <v>5</v>
      </c>
      <c r="L18" s="27" t="s">
        <v>13</v>
      </c>
      <c r="M18" s="1">
        <v>1</v>
      </c>
    </row>
    <row r="19" spans="2:13" ht="19.5" thickBot="1" x14ac:dyDescent="0.3">
      <c r="B19" s="24">
        <v>3</v>
      </c>
      <c r="C19" s="60" t="str">
        <f ca="1">IF(ISBLANK(INDIRECT(ADDRESS(B19*2+2,3))),"",INDIRECT(ADDRESS(B19*2+2,3)))</f>
        <v>Смирнов</v>
      </c>
      <c r="D19" s="60"/>
      <c r="E19" s="61"/>
      <c r="F19" s="25">
        <v>13</v>
      </c>
      <c r="G19" s="26">
        <v>0</v>
      </c>
      <c r="H19" s="62" t="str">
        <f ca="1">IF(ISBLANK(INDIRECT(ADDRESS(K19*2+2,3))),"",INDIRECT(ADDRESS(K19*2+2,3)))</f>
        <v>Таратин</v>
      </c>
      <c r="I19" s="60"/>
      <c r="J19" s="60"/>
      <c r="K19" s="24">
        <v>4</v>
      </c>
      <c r="L19" s="27" t="s">
        <v>13</v>
      </c>
      <c r="M19" s="1">
        <v>2</v>
      </c>
    </row>
    <row r="20" spans="2:13" ht="30" customHeight="1" x14ac:dyDescent="0.25">
      <c r="M20" s="24"/>
    </row>
    <row r="21" spans="2:13" ht="21.75" thickBot="1" x14ac:dyDescent="0.3"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4"/>
    </row>
    <row r="22" spans="2:13" ht="19.5" thickBot="1" x14ac:dyDescent="0.3">
      <c r="B22" s="24">
        <v>5</v>
      </c>
      <c r="C22" s="60" t="str">
        <f ca="1">IF(ISBLANK(INDIRECT(ADDRESS(B22*2+2,3))),"",INDIRECT(ADDRESS(B22*2+2,3)))</f>
        <v>Бацманов</v>
      </c>
      <c r="D22" s="60"/>
      <c r="E22" s="61"/>
      <c r="F22" s="25">
        <v>8</v>
      </c>
      <c r="G22" s="26">
        <v>13</v>
      </c>
      <c r="H22" s="62" t="str">
        <f ca="1">IF(ISBLANK(INDIRECT(ADDRESS(K22*2+2,3))),"",INDIRECT(ADDRESS(K22*2+2,3)))</f>
        <v>Смирнов</v>
      </c>
      <c r="I22" s="60"/>
      <c r="J22" s="60"/>
      <c r="K22" s="24">
        <v>3</v>
      </c>
      <c r="L22" s="27" t="s">
        <v>13</v>
      </c>
      <c r="M22" s="1">
        <v>3</v>
      </c>
    </row>
    <row r="23" spans="2:13" ht="19.5" thickBot="1" x14ac:dyDescent="0.3">
      <c r="B23" s="24">
        <v>1</v>
      </c>
      <c r="C23" s="60" t="str">
        <f ca="1">IF(ISBLANK(INDIRECT(ADDRESS(B23*2+2,3))),"",INDIRECT(ADDRESS(B23*2+2,3)))</f>
        <v>Крошилов</v>
      </c>
      <c r="D23" s="60"/>
      <c r="E23" s="61"/>
      <c r="F23" s="25">
        <v>13</v>
      </c>
      <c r="G23" s="26">
        <v>5</v>
      </c>
      <c r="H23" s="62" t="str">
        <f ca="1">IF(ISBLANK(INDIRECT(ADDRESS(K23*2+2,3))),"",INDIRECT(ADDRESS(K23*2+2,3)))</f>
        <v>Северов</v>
      </c>
      <c r="I23" s="60"/>
      <c r="J23" s="60"/>
      <c r="K23" s="24">
        <v>2</v>
      </c>
      <c r="L23" s="27" t="s">
        <v>13</v>
      </c>
      <c r="M23" s="1">
        <v>4</v>
      </c>
    </row>
    <row r="24" spans="2:13" ht="30" customHeight="1" x14ac:dyDescent="0.25">
      <c r="M24" s="24"/>
    </row>
    <row r="25" spans="2:13" ht="21.75" thickBot="1" x14ac:dyDescent="0.3"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4"/>
    </row>
    <row r="26" spans="2:13" ht="19.5" thickBot="1" x14ac:dyDescent="0.3">
      <c r="B26" s="24">
        <v>3</v>
      </c>
      <c r="C26" s="60" t="str">
        <f ca="1">IF(ISBLANK(INDIRECT(ADDRESS(B26*2+2,3))),"",INDIRECT(ADDRESS(B26*2+2,3)))</f>
        <v>Смирнов</v>
      </c>
      <c r="D26" s="60"/>
      <c r="E26" s="61"/>
      <c r="F26" s="25">
        <v>7</v>
      </c>
      <c r="G26" s="26">
        <v>13</v>
      </c>
      <c r="H26" s="62" t="str">
        <f ca="1">IF(ISBLANK(INDIRECT(ADDRESS(K26*2+2,3))),"",INDIRECT(ADDRESS(K26*2+2,3)))</f>
        <v>Крошилов</v>
      </c>
      <c r="I26" s="60"/>
      <c r="J26" s="60"/>
      <c r="K26" s="24">
        <v>1</v>
      </c>
      <c r="L26" s="27" t="s">
        <v>13</v>
      </c>
      <c r="M26" s="1">
        <v>2</v>
      </c>
    </row>
    <row r="27" spans="2:13" ht="19.5" thickBot="1" x14ac:dyDescent="0.3">
      <c r="B27" s="24">
        <v>4</v>
      </c>
      <c r="C27" s="60" t="str">
        <f ca="1">IF(ISBLANK(INDIRECT(ADDRESS(B27*2+2,3))),"",INDIRECT(ADDRESS(B27*2+2,3)))</f>
        <v>Таратин</v>
      </c>
      <c r="D27" s="60"/>
      <c r="E27" s="61"/>
      <c r="F27" s="25">
        <v>13</v>
      </c>
      <c r="G27" s="26">
        <v>10</v>
      </c>
      <c r="H27" s="62" t="str">
        <f ca="1">IF(ISBLANK(INDIRECT(ADDRESS(K27*2+2,3))),"",INDIRECT(ADDRESS(K27*2+2,3)))</f>
        <v>Бацманов</v>
      </c>
      <c r="I27" s="60"/>
      <c r="J27" s="60"/>
      <c r="K27" s="24">
        <v>5</v>
      </c>
      <c r="L27" s="27" t="s">
        <v>13</v>
      </c>
      <c r="M27" s="1">
        <v>1</v>
      </c>
    </row>
    <row r="28" spans="2:13" ht="30" customHeight="1" x14ac:dyDescent="0.25">
      <c r="M28" s="24"/>
    </row>
    <row r="29" spans="2:13" ht="21.75" thickBot="1" x14ac:dyDescent="0.3"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4"/>
    </row>
    <row r="30" spans="2:13" ht="19.5" thickBot="1" x14ac:dyDescent="0.3">
      <c r="B30" s="24">
        <v>1</v>
      </c>
      <c r="C30" s="60" t="str">
        <f ca="1">IF(ISBLANK(INDIRECT(ADDRESS(B30*2+2,3))),"",INDIRECT(ADDRESS(B30*2+2,3)))</f>
        <v>Крошилов</v>
      </c>
      <c r="D30" s="60"/>
      <c r="E30" s="61"/>
      <c r="F30" s="25">
        <v>13</v>
      </c>
      <c r="G30" s="26">
        <v>12</v>
      </c>
      <c r="H30" s="62" t="str">
        <f ca="1">IF(ISBLANK(INDIRECT(ADDRESS(K30*2+2,3))),"",INDIRECT(ADDRESS(K30*2+2,3)))</f>
        <v>Таратин</v>
      </c>
      <c r="I30" s="60"/>
      <c r="J30" s="60"/>
      <c r="K30" s="24">
        <v>4</v>
      </c>
      <c r="L30" s="27" t="s">
        <v>13</v>
      </c>
      <c r="M30" s="1">
        <v>4</v>
      </c>
    </row>
    <row r="31" spans="2:13" ht="19.5" thickBot="1" x14ac:dyDescent="0.3">
      <c r="B31" s="24">
        <v>2</v>
      </c>
      <c r="C31" s="60" t="str">
        <f ca="1">IF(ISBLANK(INDIRECT(ADDRESS(B31*2+2,3))),"",INDIRECT(ADDRESS(B31*2+2,3)))</f>
        <v>Северов</v>
      </c>
      <c r="D31" s="60"/>
      <c r="E31" s="61"/>
      <c r="F31" s="25">
        <v>13</v>
      </c>
      <c r="G31" s="26">
        <v>12</v>
      </c>
      <c r="H31" s="62" t="str">
        <f ca="1">IF(ISBLANK(INDIRECT(ADDRESS(K31*2+2,3))),"",INDIRECT(ADDRESS(K31*2+2,3)))</f>
        <v>Смирнов</v>
      </c>
      <c r="I31" s="60"/>
      <c r="J31" s="60"/>
      <c r="K31" s="24">
        <v>3</v>
      </c>
      <c r="L31" s="27" t="s">
        <v>13</v>
      </c>
      <c r="M31" s="1">
        <v>3</v>
      </c>
    </row>
    <row r="32" spans="2:13" ht="30" customHeight="1" x14ac:dyDescent="0.25">
      <c r="M32" s="24"/>
    </row>
    <row r="33" spans="2:13" ht="21.75" thickBot="1" x14ac:dyDescent="0.3"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4"/>
    </row>
    <row r="34" spans="2:13" ht="19.5" thickBot="1" x14ac:dyDescent="0.3">
      <c r="B34" s="24">
        <v>4</v>
      </c>
      <c r="C34" s="60" t="str">
        <f ca="1">IF(ISBLANK(INDIRECT(ADDRESS(B34*2+2,3))),"",INDIRECT(ADDRESS(B34*2+2,3)))</f>
        <v>Таратин</v>
      </c>
      <c r="D34" s="60"/>
      <c r="E34" s="61"/>
      <c r="F34" s="25">
        <v>12</v>
      </c>
      <c r="G34" s="26">
        <v>13</v>
      </c>
      <c r="H34" s="62" t="str">
        <f ca="1">IF(ISBLANK(INDIRECT(ADDRESS(K34*2+2,3))),"",INDIRECT(ADDRESS(K34*2+2,3)))</f>
        <v>Северов</v>
      </c>
      <c r="I34" s="60"/>
      <c r="J34" s="60"/>
      <c r="K34" s="24">
        <v>2</v>
      </c>
      <c r="L34" s="27" t="s">
        <v>13</v>
      </c>
      <c r="M34" s="1">
        <v>1</v>
      </c>
    </row>
    <row r="35" spans="2:13" ht="19.5" thickBot="1" x14ac:dyDescent="0.3">
      <c r="B35" s="24">
        <v>5</v>
      </c>
      <c r="C35" s="60" t="str">
        <f ca="1">IF(ISBLANK(INDIRECT(ADDRESS(B35*2+2,3))),"",INDIRECT(ADDRESS(B35*2+2,3)))</f>
        <v>Бацманов</v>
      </c>
      <c r="D35" s="60"/>
      <c r="E35" s="61"/>
      <c r="F35" s="25">
        <v>2</v>
      </c>
      <c r="G35" s="26">
        <v>13</v>
      </c>
      <c r="H35" s="62" t="str">
        <f ca="1">IF(ISBLANK(INDIRECT(ADDRESS(K35*2+2,3))),"",INDIRECT(ADDRESS(K35*2+2,3)))</f>
        <v>Крошилов</v>
      </c>
      <c r="I35" s="60"/>
      <c r="J35" s="60"/>
      <c r="K35" s="24">
        <v>1</v>
      </c>
      <c r="L35" s="27" t="s">
        <v>13</v>
      </c>
      <c r="M35" s="1">
        <v>2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D15" sqref="D15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46.5" x14ac:dyDescent="0.25">
      <c r="B1" s="84" t="s">
        <v>33</v>
      </c>
      <c r="C1" s="84"/>
      <c r="D1" s="84"/>
      <c r="E1" s="84"/>
      <c r="F1" s="84"/>
      <c r="G1" s="84"/>
      <c r="H1" s="84"/>
      <c r="I1" s="84"/>
      <c r="J1" s="84"/>
      <c r="K1" s="84"/>
      <c r="L1" s="33" t="s">
        <v>26</v>
      </c>
      <c r="M1" t="s">
        <v>20</v>
      </c>
    </row>
    <row r="2" spans="2:13" ht="15.75" thickBot="1" x14ac:dyDescent="0.3">
      <c r="M2"/>
    </row>
    <row r="3" spans="2:13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ht="21" x14ac:dyDescent="0.25">
      <c r="B4" s="88">
        <v>1</v>
      </c>
      <c r="C4" s="89" t="s">
        <v>28</v>
      </c>
      <c r="D4" s="90"/>
      <c r="E4" s="91"/>
      <c r="F4" s="7" t="s">
        <v>5</v>
      </c>
      <c r="G4" s="8" t="str">
        <f ca="1">INDIRECT(ADDRESS(23,6))&amp;":"&amp;INDIRECT(ADDRESS(23,7))</f>
        <v>13:2</v>
      </c>
      <c r="H4" s="8" t="str">
        <f ca="1">INDIRECT(ADDRESS(26,7))&amp;":"&amp;INDIRECT(ADDRESS(26,6))</f>
        <v>8:13</v>
      </c>
      <c r="I4" s="8" t="str">
        <f ca="1">INDIRECT(ADDRESS(30,6))&amp;":"&amp;INDIRECT(ADDRESS(30,7))</f>
        <v>13:7</v>
      </c>
      <c r="J4" s="9" t="str">
        <f ca="1">INDIRECT(ADDRESS(35,7))&amp;":"&amp;INDIRECT(ADDRESS(35,6))</f>
        <v>13:10</v>
      </c>
      <c r="K4" s="99">
        <f ca="1">IF(COUNT(F5:J5)=0,"",COUNTIF(F5:J5,"&gt;0")+0.5*COUNTIF(F5:J5,0))</f>
        <v>3</v>
      </c>
      <c r="L4" s="10">
        <v>6</v>
      </c>
      <c r="M4" s="98">
        <v>1</v>
      </c>
    </row>
    <row r="5" spans="2:13" ht="2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COLUMN())))=1,"",INDIRECT(ADDRESS(23,6))-INDIRECT(ADDRESS(23,7)))</f>
        <v>11</v>
      </c>
      <c r="H5" s="12">
        <f ca="1">IF(LEN(INDIRECT(ADDRESS(ROW()-1, COLUMN())))=1,"",INDIRECT(ADDRESS(26,7))-INDIRECT(ADDRESS(26,6)))</f>
        <v>-5</v>
      </c>
      <c r="I5" s="12">
        <f ca="1">IF(LEN(INDIRECT(ADDRESS(ROW()-1, COLUMN())))=1,"",INDIRECT(ADDRESS(30,6))-INDIRECT(ADDRESS(30,7)))</f>
        <v>6</v>
      </c>
      <c r="J5" s="13">
        <f ca="1">IF(LEN(INDIRECT(ADDRESS(ROW()-1, COLUMN())))=1,"",INDIRECT(ADDRESS(35,7))-INDIRECT(ADDRESS(35,6)))</f>
        <v>3</v>
      </c>
      <c r="K5" s="93"/>
      <c r="L5" s="12">
        <f ca="1">IF(COUNT(F5:J5)=0,"",SUM(F5:J5))</f>
        <v>15</v>
      </c>
      <c r="M5" s="97"/>
    </row>
    <row r="6" spans="2:13" ht="21" x14ac:dyDescent="0.25">
      <c r="B6" s="64">
        <v>2</v>
      </c>
      <c r="C6" s="66" t="s">
        <v>29</v>
      </c>
      <c r="D6" s="67"/>
      <c r="E6" s="68"/>
      <c r="F6" s="14" t="str">
        <f ca="1">INDIRECT(ADDRESS(23,7))&amp;":"&amp;INDIRECT(ADDRESS(23,6))</f>
        <v>2:13</v>
      </c>
      <c r="G6" s="15" t="s">
        <v>5</v>
      </c>
      <c r="H6" s="16" t="str">
        <f ca="1">INDIRECT(ADDRESS(31,6))&amp;":"&amp;INDIRECT(ADDRESS(31,7))</f>
        <v>13:7</v>
      </c>
      <c r="I6" s="16" t="str">
        <f ca="1">INDIRECT(ADDRESS(34,7))&amp;":"&amp;INDIRECT(ADDRESS(34,6))</f>
        <v>13:3</v>
      </c>
      <c r="J6" s="17" t="str">
        <f ca="1">INDIRECT(ADDRESS(18,6))&amp;":"&amp;INDIRECT(ADDRESS(18,7))</f>
        <v>13:1</v>
      </c>
      <c r="K6" s="93">
        <f ca="1">IF(COUNT(F7:J7)=0,"",COUNTIF(F7:J7,"&gt;0")+0.5*COUNTIF(F7:J7,0))</f>
        <v>3</v>
      </c>
      <c r="L6" s="12">
        <v>-5</v>
      </c>
      <c r="M6" s="94">
        <v>3</v>
      </c>
    </row>
    <row r="7" spans="2:13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-11</v>
      </c>
      <c r="G7" s="19" t="s">
        <v>5</v>
      </c>
      <c r="H7" s="12">
        <f ca="1">IF(LEN(INDIRECT(ADDRESS(ROW()-1, COLUMN())))=1,"",INDIRECT(ADDRESS(31,6))-INDIRECT(ADDRESS(31,7)))</f>
        <v>6</v>
      </c>
      <c r="I7" s="12">
        <f ca="1">IF(LEN(INDIRECT(ADDRESS(ROW()-1, COLUMN())))=1,"",INDIRECT(ADDRESS(34,7))-INDIRECT(ADDRESS(34,6)))</f>
        <v>10</v>
      </c>
      <c r="J7" s="13">
        <f ca="1">IF(LEN(INDIRECT(ADDRESS(ROW()-1, COLUMN())))=1,"",INDIRECT(ADDRESS(18,6))-INDIRECT(ADDRESS(18,7)))</f>
        <v>12</v>
      </c>
      <c r="K7" s="93"/>
      <c r="L7" s="12">
        <f ca="1">IF(COUNT(F7:J7)=0,"",SUM(F7:J7))</f>
        <v>17</v>
      </c>
      <c r="M7" s="94"/>
    </row>
    <row r="8" spans="2:13" ht="21" x14ac:dyDescent="0.25">
      <c r="B8" s="64">
        <v>3</v>
      </c>
      <c r="C8" s="78" t="s">
        <v>30</v>
      </c>
      <c r="D8" s="79"/>
      <c r="E8" s="80"/>
      <c r="F8" s="14" t="str">
        <f ca="1">INDIRECT(ADDRESS(26,6))&amp;":"&amp;INDIRECT(ADDRESS(26,7))</f>
        <v>13:8</v>
      </c>
      <c r="G8" s="16" t="str">
        <f ca="1">INDIRECT(ADDRESS(31,7))&amp;":"&amp;INDIRECT(ADDRESS(31,6))</f>
        <v>7:13</v>
      </c>
      <c r="H8" s="15" t="s">
        <v>5</v>
      </c>
      <c r="I8" s="16" t="str">
        <f ca="1">INDIRECT(ADDRESS(19,6))&amp;":"&amp;INDIRECT(ADDRESS(19,7))</f>
        <v>13:4</v>
      </c>
      <c r="J8" s="17" t="str">
        <f ca="1">INDIRECT(ADDRESS(22,7))&amp;":"&amp;INDIRECT(ADDRESS(22,6))</f>
        <v>13:1</v>
      </c>
      <c r="K8" s="93">
        <f ca="1">IF(COUNT(F9:J9)=0,"",COUNTIF(F9:J9,"&gt;0")+0.5*COUNTIF(F9:J9,0))</f>
        <v>3</v>
      </c>
      <c r="L8" s="12">
        <v>-1</v>
      </c>
      <c r="M8" s="97">
        <v>2</v>
      </c>
    </row>
    <row r="9" spans="2:13" ht="21" x14ac:dyDescent="0.25">
      <c r="B9" s="76"/>
      <c r="C9" s="78"/>
      <c r="D9" s="79"/>
      <c r="E9" s="80"/>
      <c r="F9" s="18">
        <f ca="1">IF(LEN(INDIRECT(ADDRESS(ROW()-1, COLUMN())))=1,"",INDIRECT(ADDRESS(26,6))-INDIRECT(ADDRESS(26,7)))</f>
        <v>5</v>
      </c>
      <c r="G9" s="12">
        <f ca="1">IF(LEN(INDIRECT(ADDRESS(ROW()-1, COLUMN())))=1,"",INDIRECT(ADDRESS(31,7))-INDIRECT(ADDRESS(31,6)))</f>
        <v>-6</v>
      </c>
      <c r="H9" s="19" t="s">
        <v>5</v>
      </c>
      <c r="I9" s="12">
        <f ca="1">IF(LEN(INDIRECT(ADDRESS(ROW()-1, COLUMN())))=1,"",INDIRECT(ADDRESS(19,6))-INDIRECT(ADDRESS(19,7)))</f>
        <v>9</v>
      </c>
      <c r="J9" s="13">
        <f ca="1">IF(LEN(INDIRECT(ADDRESS(ROW()-1, COLUMN())))=1,"",INDIRECT(ADDRESS(22,7))-INDIRECT(ADDRESS(22,6)))</f>
        <v>12</v>
      </c>
      <c r="K9" s="93"/>
      <c r="L9" s="12">
        <f ca="1">IF(COUNT(F9:J9)=0,"",SUM(F9:J9))</f>
        <v>20</v>
      </c>
      <c r="M9" s="97"/>
    </row>
    <row r="10" spans="2:13" ht="21" x14ac:dyDescent="0.25">
      <c r="B10" s="64">
        <v>4</v>
      </c>
      <c r="C10" s="66" t="s">
        <v>31</v>
      </c>
      <c r="D10" s="67"/>
      <c r="E10" s="68"/>
      <c r="F10" s="14" t="str">
        <f ca="1">INDIRECT(ADDRESS(30,7))&amp;":"&amp;INDIRECT(ADDRESS(30,6))</f>
        <v>7:13</v>
      </c>
      <c r="G10" s="16" t="str">
        <f ca="1">INDIRECT(ADDRESS(34,6))&amp;":"&amp;INDIRECT(ADDRESS(34,7))</f>
        <v>3:13</v>
      </c>
      <c r="H10" s="16" t="str">
        <f ca="1">INDIRECT(ADDRESS(19,7))&amp;":"&amp;INDIRECT(ADDRESS(19,6))</f>
        <v>4:13</v>
      </c>
      <c r="I10" s="15" t="s">
        <v>5</v>
      </c>
      <c r="J10" s="17" t="str">
        <f ca="1">INDIRECT(ADDRESS(27,6))&amp;":"&amp;INDIRECT(ADDRESS(27,7))</f>
        <v>13:6</v>
      </c>
      <c r="K10" s="93">
        <f ca="1">IF(COUNT(F11:J11)=0,"",COUNTIF(F11:J11,"&gt;0")+0.5*COUNTIF(F11:J11,0))</f>
        <v>1</v>
      </c>
      <c r="L10" s="12"/>
      <c r="M10" s="94">
        <v>4</v>
      </c>
    </row>
    <row r="11" spans="2:13" ht="21" x14ac:dyDescent="0.25">
      <c r="B11" s="76"/>
      <c r="C11" s="66"/>
      <c r="D11" s="67"/>
      <c r="E11" s="68"/>
      <c r="F11" s="18">
        <f ca="1">IF(LEN(INDIRECT(ADDRESS(ROW()-1, COLUMN())))=1,"",INDIRECT(ADDRESS(30,7))-INDIRECT(ADDRESS(30,6)))</f>
        <v>-6</v>
      </c>
      <c r="G11" s="12">
        <f ca="1">IF(LEN(INDIRECT(ADDRESS(ROW()-1, COLUMN())))=1,"",INDIRECT(ADDRESS(34,6))-INDIRECT(ADDRESS(34,7)))</f>
        <v>-10</v>
      </c>
      <c r="H11" s="12">
        <f ca="1">IF(LEN(INDIRECT(ADDRESS(ROW()-1, COLUMN())))=1,"",INDIRECT(ADDRESS(19,7))-INDIRECT(ADDRESS(19,6)))</f>
        <v>-9</v>
      </c>
      <c r="I11" s="19" t="s">
        <v>5</v>
      </c>
      <c r="J11" s="13">
        <f ca="1">IF(LEN(INDIRECT(ADDRESS(ROW()-1, COLUMN())))=1,"",INDIRECT(ADDRESS(27,6))-INDIRECT(ADDRESS(27,7)))</f>
        <v>7</v>
      </c>
      <c r="K11" s="93"/>
      <c r="L11" s="12">
        <f ca="1">IF(COUNT(F11:J11)=0,"",SUM(F11:J11))</f>
        <v>-18</v>
      </c>
      <c r="M11" s="94"/>
    </row>
    <row r="12" spans="2:13" ht="21" x14ac:dyDescent="0.25">
      <c r="B12" s="64">
        <v>5</v>
      </c>
      <c r="C12" s="66" t="s">
        <v>32</v>
      </c>
      <c r="D12" s="67"/>
      <c r="E12" s="68"/>
      <c r="F12" s="14" t="str">
        <f ca="1">INDIRECT(ADDRESS(35,6))&amp;":"&amp;INDIRECT(ADDRESS(35,7))</f>
        <v>10:13</v>
      </c>
      <c r="G12" s="16" t="str">
        <f ca="1">INDIRECT(ADDRESS(18,7))&amp;":"&amp;INDIRECT(ADDRESS(18,6))</f>
        <v>1:13</v>
      </c>
      <c r="H12" s="16" t="str">
        <f ca="1">INDIRECT(ADDRESS(22,6))&amp;":"&amp;INDIRECT(ADDRESS(22,7))</f>
        <v>1:13</v>
      </c>
      <c r="I12" s="16" t="str">
        <f ca="1">INDIRECT(ADDRESS(27,7))&amp;":"&amp;INDIRECT(ADDRESS(27,6))</f>
        <v>6:13</v>
      </c>
      <c r="J12" s="20" t="s">
        <v>5</v>
      </c>
      <c r="K12" s="93">
        <f ca="1">IF(COUNT(F13:J13)=0,"",COUNTIF(F13:J13,"&gt;0")+0.5*COUNTIF(F13:J13,0))</f>
        <v>0</v>
      </c>
      <c r="L12" s="12"/>
      <c r="M12" s="94">
        <v>5</v>
      </c>
    </row>
    <row r="13" spans="2:13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-3</v>
      </c>
      <c r="G13" s="22">
        <f ca="1">IF(LEN(INDIRECT(ADDRESS(ROW()-1, COLUMN())))=1,"",INDIRECT(ADDRESS(18,7))-INDIRECT(ADDRESS(18,6)))</f>
        <v>-12</v>
      </c>
      <c r="H13" s="22">
        <f ca="1">IF(LEN(INDIRECT(ADDRESS(ROW()-1, COLUMN())))=1,"",INDIRECT(ADDRESS(22,6))-INDIRECT(ADDRESS(22,7)))</f>
        <v>-12</v>
      </c>
      <c r="I13" s="22">
        <f ca="1">IF(LEN(INDIRECT(ADDRESS(ROW()-1, COLUMN())))=1,"",INDIRECT(ADDRESS(27,7))-INDIRECT(ADDRESS(27,6)))</f>
        <v>-7</v>
      </c>
      <c r="J13" s="23" t="s">
        <v>5</v>
      </c>
      <c r="K13" s="95"/>
      <c r="L13" s="22">
        <f ca="1">IF(COUNT(F13:J13)=0,"",SUM(F13:J13))</f>
        <v>-34</v>
      </c>
      <c r="M13" s="96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2:13" ht="21.75" thickBot="1" x14ac:dyDescent="0.3"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2:13" ht="19.5" thickBot="1" x14ac:dyDescent="0.3">
      <c r="B18" s="24">
        <v>2</v>
      </c>
      <c r="C18" s="60" t="str">
        <f ca="1">IF(ISBLANK(INDIRECT(ADDRESS(B18*2+2,3))),"",INDIRECT(ADDRESS(B18*2+2,3)))</f>
        <v>Зорро</v>
      </c>
      <c r="D18" s="60"/>
      <c r="E18" s="61"/>
      <c r="F18" s="25">
        <v>13</v>
      </c>
      <c r="G18" s="26">
        <v>1</v>
      </c>
      <c r="H18" s="62" t="str">
        <f ca="1">IF(ISBLANK(INDIRECT(ADDRESS(K18*2+2,3))),"",INDIRECT(ADDRESS(K18*2+2,3)))</f>
        <v>Савельев</v>
      </c>
      <c r="I18" s="60"/>
      <c r="J18" s="60"/>
      <c r="K18" s="24">
        <v>5</v>
      </c>
      <c r="L18" s="27" t="s">
        <v>13</v>
      </c>
      <c r="M18" s="1">
        <v>3</v>
      </c>
    </row>
    <row r="19" spans="2:13" ht="19.5" thickBot="1" x14ac:dyDescent="0.3">
      <c r="B19" s="24">
        <v>3</v>
      </c>
      <c r="C19" s="60" t="str">
        <f ca="1">IF(ISBLANK(INDIRECT(ADDRESS(B19*2+2,3))),"",INDIRECT(ADDRESS(B19*2+2,3)))</f>
        <v>Федотов</v>
      </c>
      <c r="D19" s="60"/>
      <c r="E19" s="61"/>
      <c r="F19" s="25">
        <v>13</v>
      </c>
      <c r="G19" s="26">
        <v>4</v>
      </c>
      <c r="H19" s="62" t="str">
        <f ca="1">IF(ISBLANK(INDIRECT(ADDRESS(K19*2+2,3))),"",INDIRECT(ADDRESS(K19*2+2,3)))</f>
        <v>Захаров</v>
      </c>
      <c r="I19" s="60"/>
      <c r="J19" s="60"/>
      <c r="K19" s="24">
        <v>4</v>
      </c>
      <c r="L19" s="27" t="s">
        <v>13</v>
      </c>
      <c r="M19" s="1">
        <v>4</v>
      </c>
    </row>
    <row r="20" spans="2:13" ht="30" customHeight="1" x14ac:dyDescent="0.25">
      <c r="M20" s="24"/>
    </row>
    <row r="21" spans="2:13" ht="21.75" thickBot="1" x14ac:dyDescent="0.3"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4"/>
    </row>
    <row r="22" spans="2:13" ht="19.5" thickBot="1" x14ac:dyDescent="0.3">
      <c r="B22" s="24">
        <v>5</v>
      </c>
      <c r="C22" s="60" t="str">
        <f ca="1">IF(ISBLANK(INDIRECT(ADDRESS(B22*2+2,3))),"",INDIRECT(ADDRESS(B22*2+2,3)))</f>
        <v>Савельев</v>
      </c>
      <c r="D22" s="60"/>
      <c r="E22" s="61"/>
      <c r="F22" s="25">
        <v>1</v>
      </c>
      <c r="G22" s="26">
        <v>13</v>
      </c>
      <c r="H22" s="62" t="str">
        <f ca="1">IF(ISBLANK(INDIRECT(ADDRESS(K22*2+2,3))),"",INDIRECT(ADDRESS(K22*2+2,3)))</f>
        <v>Федотов</v>
      </c>
      <c r="I22" s="60"/>
      <c r="J22" s="60"/>
      <c r="K22" s="24">
        <v>3</v>
      </c>
      <c r="L22" s="27" t="s">
        <v>13</v>
      </c>
      <c r="M22" s="1">
        <v>1</v>
      </c>
    </row>
    <row r="23" spans="2:13" ht="19.5" thickBot="1" x14ac:dyDescent="0.3">
      <c r="B23" s="24">
        <v>1</v>
      </c>
      <c r="C23" s="60" t="str">
        <f ca="1">IF(ISBLANK(INDIRECT(ADDRESS(B23*2+2,3))),"",INDIRECT(ADDRESS(B23*2+2,3)))</f>
        <v>Лямунов</v>
      </c>
      <c r="D23" s="60"/>
      <c r="E23" s="61"/>
      <c r="F23" s="25">
        <v>13</v>
      </c>
      <c r="G23" s="26">
        <v>2</v>
      </c>
      <c r="H23" s="62" t="str">
        <f ca="1">IF(ISBLANK(INDIRECT(ADDRESS(K23*2+2,3))),"",INDIRECT(ADDRESS(K23*2+2,3)))</f>
        <v>Зорро</v>
      </c>
      <c r="I23" s="60"/>
      <c r="J23" s="60"/>
      <c r="K23" s="24">
        <v>2</v>
      </c>
      <c r="L23" s="27" t="s">
        <v>13</v>
      </c>
      <c r="M23" s="1">
        <v>2</v>
      </c>
    </row>
    <row r="24" spans="2:13" ht="30" customHeight="1" x14ac:dyDescent="0.25">
      <c r="M24" s="24"/>
    </row>
    <row r="25" spans="2:13" ht="21.75" thickBot="1" x14ac:dyDescent="0.3"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4"/>
    </row>
    <row r="26" spans="2:13" ht="19.5" thickBot="1" x14ac:dyDescent="0.3">
      <c r="B26" s="24">
        <v>3</v>
      </c>
      <c r="C26" s="60" t="str">
        <f ca="1">IF(ISBLANK(INDIRECT(ADDRESS(B26*2+2,3))),"",INDIRECT(ADDRESS(B26*2+2,3)))</f>
        <v>Федотов</v>
      </c>
      <c r="D26" s="60"/>
      <c r="E26" s="61"/>
      <c r="F26" s="25">
        <v>13</v>
      </c>
      <c r="G26" s="26">
        <v>8</v>
      </c>
      <c r="H26" s="62" t="str">
        <f ca="1">IF(ISBLANK(INDIRECT(ADDRESS(K26*2+2,3))),"",INDIRECT(ADDRESS(K26*2+2,3)))</f>
        <v>Лямунов</v>
      </c>
      <c r="I26" s="60"/>
      <c r="J26" s="60"/>
      <c r="K26" s="24">
        <v>1</v>
      </c>
      <c r="L26" s="27" t="s">
        <v>13</v>
      </c>
      <c r="M26" s="1">
        <v>4</v>
      </c>
    </row>
    <row r="27" spans="2:13" ht="19.5" thickBot="1" x14ac:dyDescent="0.3">
      <c r="B27" s="24">
        <v>4</v>
      </c>
      <c r="C27" s="60" t="str">
        <f ca="1">IF(ISBLANK(INDIRECT(ADDRESS(B27*2+2,3))),"",INDIRECT(ADDRESS(B27*2+2,3)))</f>
        <v>Захаров</v>
      </c>
      <c r="D27" s="60"/>
      <c r="E27" s="61"/>
      <c r="F27" s="25">
        <v>13</v>
      </c>
      <c r="G27" s="26">
        <v>6</v>
      </c>
      <c r="H27" s="62" t="str">
        <f ca="1">IF(ISBLANK(INDIRECT(ADDRESS(K27*2+2,3))),"",INDIRECT(ADDRESS(K27*2+2,3)))</f>
        <v>Савельев</v>
      </c>
      <c r="I27" s="60"/>
      <c r="J27" s="60"/>
      <c r="K27" s="24">
        <v>5</v>
      </c>
      <c r="L27" s="27" t="s">
        <v>13</v>
      </c>
      <c r="M27" s="1">
        <v>3</v>
      </c>
    </row>
    <row r="28" spans="2:13" ht="18.75" x14ac:dyDescent="0.25">
      <c r="G28" s="34">
        <v>0</v>
      </c>
      <c r="M28" s="24"/>
    </row>
    <row r="29" spans="2:13" ht="21.75" thickBot="1" x14ac:dyDescent="0.3"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4"/>
    </row>
    <row r="30" spans="2:13" ht="19.5" thickBot="1" x14ac:dyDescent="0.3">
      <c r="B30" s="24">
        <v>1</v>
      </c>
      <c r="C30" s="60" t="str">
        <f ca="1">IF(ISBLANK(INDIRECT(ADDRESS(B30*2+2,3))),"",INDIRECT(ADDRESS(B30*2+2,3)))</f>
        <v>Лямунов</v>
      </c>
      <c r="D30" s="60"/>
      <c r="E30" s="61"/>
      <c r="F30" s="25">
        <v>13</v>
      </c>
      <c r="G30" s="26">
        <v>7</v>
      </c>
      <c r="H30" s="62" t="str">
        <f ca="1">IF(ISBLANK(INDIRECT(ADDRESS(K30*2+2,3))),"",INDIRECT(ADDRESS(K30*2+2,3)))</f>
        <v>Захаров</v>
      </c>
      <c r="I30" s="60"/>
      <c r="J30" s="60"/>
      <c r="K30" s="24">
        <v>4</v>
      </c>
      <c r="L30" s="27" t="s">
        <v>13</v>
      </c>
      <c r="M30" s="1">
        <v>2</v>
      </c>
    </row>
    <row r="31" spans="2:13" ht="19.5" thickBot="1" x14ac:dyDescent="0.3">
      <c r="B31" s="24">
        <v>2</v>
      </c>
      <c r="C31" s="60" t="str">
        <f ca="1">IF(ISBLANK(INDIRECT(ADDRESS(B31*2+2,3))),"",INDIRECT(ADDRESS(B31*2+2,3)))</f>
        <v>Зорро</v>
      </c>
      <c r="D31" s="60"/>
      <c r="E31" s="61"/>
      <c r="F31" s="25">
        <v>13</v>
      </c>
      <c r="G31" s="26">
        <v>7</v>
      </c>
      <c r="H31" s="62" t="str">
        <f ca="1">IF(ISBLANK(INDIRECT(ADDRESS(K31*2+2,3))),"",INDIRECT(ADDRESS(K31*2+2,3)))</f>
        <v>Федотов</v>
      </c>
      <c r="I31" s="60"/>
      <c r="J31" s="60"/>
      <c r="K31" s="24">
        <v>3</v>
      </c>
      <c r="L31" s="27" t="s">
        <v>13</v>
      </c>
      <c r="M31" s="1">
        <v>1</v>
      </c>
    </row>
    <row r="32" spans="2:13" ht="30" customHeight="1" x14ac:dyDescent="0.25">
      <c r="M32" s="24"/>
    </row>
    <row r="33" spans="2:13" ht="21.75" thickBot="1" x14ac:dyDescent="0.3"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4"/>
    </row>
    <row r="34" spans="2:13" ht="19.5" thickBot="1" x14ac:dyDescent="0.3">
      <c r="B34" s="24">
        <v>4</v>
      </c>
      <c r="C34" s="60" t="str">
        <f ca="1">IF(ISBLANK(INDIRECT(ADDRESS(B34*2+2,3))),"",INDIRECT(ADDRESS(B34*2+2,3)))</f>
        <v>Захаров</v>
      </c>
      <c r="D34" s="60"/>
      <c r="E34" s="61"/>
      <c r="F34" s="25">
        <v>3</v>
      </c>
      <c r="G34" s="26">
        <v>13</v>
      </c>
      <c r="H34" s="62" t="str">
        <f ca="1">IF(ISBLANK(INDIRECT(ADDRESS(K34*2+2,3))),"",INDIRECT(ADDRESS(K34*2+2,3)))</f>
        <v>Зорро</v>
      </c>
      <c r="I34" s="60"/>
      <c r="J34" s="60"/>
      <c r="K34" s="24">
        <v>2</v>
      </c>
      <c r="L34" s="27" t="s">
        <v>13</v>
      </c>
      <c r="M34" s="1">
        <v>3</v>
      </c>
    </row>
    <row r="35" spans="2:13" ht="19.5" thickBot="1" x14ac:dyDescent="0.3">
      <c r="B35" s="24">
        <v>5</v>
      </c>
      <c r="C35" s="60" t="str">
        <f ca="1">IF(ISBLANK(INDIRECT(ADDRESS(B35*2+2,3))),"",INDIRECT(ADDRESS(B35*2+2,3)))</f>
        <v>Савельев</v>
      </c>
      <c r="D35" s="60"/>
      <c r="E35" s="61"/>
      <c r="F35" s="25">
        <v>10</v>
      </c>
      <c r="G35" s="26">
        <v>13</v>
      </c>
      <c r="H35" s="62" t="str">
        <f ca="1">IF(ISBLANK(INDIRECT(ADDRESS(K35*2+2,3))),"",INDIRECT(ADDRESS(K35*2+2,3)))</f>
        <v>Лямунов</v>
      </c>
      <c r="I35" s="60"/>
      <c r="J35" s="60"/>
      <c r="K35" s="24">
        <v>1</v>
      </c>
      <c r="L35" s="27" t="s">
        <v>13</v>
      </c>
      <c r="M35" s="1">
        <v>4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N1" sqref="N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4" ht="38.25" customHeight="1" x14ac:dyDescent="0.25">
      <c r="B1" s="84" t="s">
        <v>18</v>
      </c>
      <c r="C1" s="84"/>
      <c r="D1" s="84"/>
      <c r="E1" s="84"/>
      <c r="F1" s="84"/>
      <c r="G1" s="84"/>
      <c r="H1" s="84"/>
      <c r="I1" s="84"/>
      <c r="J1" s="84"/>
      <c r="K1" s="84"/>
      <c r="L1" t="s">
        <v>19</v>
      </c>
      <c r="M1" t="s">
        <v>40</v>
      </c>
      <c r="N1" s="30">
        <v>45304</v>
      </c>
    </row>
    <row r="2" spans="2:14" ht="15.75" thickBot="1" x14ac:dyDescent="0.3"/>
    <row r="3" spans="2:14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5" t="s">
        <v>1</v>
      </c>
      <c r="M3" s="3" t="s">
        <v>2</v>
      </c>
      <c r="N3" s="6" t="s">
        <v>3</v>
      </c>
    </row>
    <row r="4" spans="2:14" ht="24" customHeight="1" x14ac:dyDescent="0.25">
      <c r="B4" s="88">
        <v>1</v>
      </c>
      <c r="C4" s="89" t="s">
        <v>34</v>
      </c>
      <c r="D4" s="90"/>
      <c r="E4" s="91"/>
      <c r="F4" s="7" t="s">
        <v>5</v>
      </c>
      <c r="G4" s="8" t="str">
        <f ca="1">INDIRECT(ADDRESS(27,6))&amp;":"&amp;INDIRECT(ADDRESS(27,7))</f>
        <v>13:8</v>
      </c>
      <c r="H4" s="8" t="str">
        <f ca="1">INDIRECT(ADDRESS(31,7))&amp;":"&amp;INDIRECT(ADDRESS(31,6))</f>
        <v>13:4</v>
      </c>
      <c r="I4" s="8" t="str">
        <f ca="1">INDIRECT(ADDRESS(36,6))&amp;":"&amp;INDIRECT(ADDRESS(36,7))</f>
        <v>13:9</v>
      </c>
      <c r="J4" s="8" t="str">
        <f ca="1">INDIRECT(ADDRESS(42,7))&amp;":"&amp;INDIRECT(ADDRESS(42,6))</f>
        <v>13:6</v>
      </c>
      <c r="K4" s="9" t="str">
        <f ca="1">INDIRECT(ADDRESS(20,6))&amp;":"&amp;INDIRECT(ADDRESS(20,7))</f>
        <v>12:10</v>
      </c>
      <c r="L4" s="92">
        <f ca="1">IF(COUNT(F5:K5)=0,"",COUNTIF(F5:K5,"&gt;0")+0.5*COUNTIF(F5:K5,0))</f>
        <v>5</v>
      </c>
      <c r="M4" s="10"/>
      <c r="N4" s="83">
        <v>1</v>
      </c>
    </row>
    <row r="5" spans="2:14" ht="24" customHeight="1" x14ac:dyDescent="0.25">
      <c r="B5" s="76"/>
      <c r="C5" s="78"/>
      <c r="D5" s="79"/>
      <c r="E5" s="80"/>
      <c r="F5" s="11" t="s">
        <v>5</v>
      </c>
      <c r="G5" s="12">
        <f ca="1">IF(LEN(INDIRECT(ADDRESS(ROW()-1, COLUMN())))=1,"",INDIRECT(ADDRESS(27,6))-INDIRECT(ADDRESS(27,7)))</f>
        <v>5</v>
      </c>
      <c r="H5" s="12">
        <f ca="1">IF(LEN(INDIRECT(ADDRESS(ROW()-1, COLUMN())))=1,"",INDIRECT(ADDRESS(31,7))-INDIRECT(ADDRESS(31,6)))</f>
        <v>9</v>
      </c>
      <c r="I5" s="12">
        <f ca="1">IF(LEN(INDIRECT(ADDRESS(ROW()-1, COLUMN())))=1,"",INDIRECT(ADDRESS(36,6))-INDIRECT(ADDRESS(36,7)))</f>
        <v>4</v>
      </c>
      <c r="J5" s="12">
        <f ca="1">IF(LEN(INDIRECT(ADDRESS(ROW()-1, COLUMN())))=1,"",INDIRECT(ADDRESS(42,7))-INDIRECT(ADDRESS(42,6)))</f>
        <v>7</v>
      </c>
      <c r="K5" s="13">
        <f ca="1">IF(LEN(INDIRECT(ADDRESS(ROW()-1, COLUMN())))=1,"",INDIRECT(ADDRESS(20,6))-INDIRECT(ADDRESS(20,7)))</f>
        <v>2</v>
      </c>
      <c r="L5" s="72"/>
      <c r="M5" s="12">
        <f ca="1">IF(COUNT(F5:K5)=0,"",SUM(F5:K5))</f>
        <v>27</v>
      </c>
      <c r="N5" s="82"/>
    </row>
    <row r="6" spans="2:14" ht="24" customHeight="1" x14ac:dyDescent="0.25">
      <c r="B6" s="64">
        <v>2</v>
      </c>
      <c r="C6" s="66" t="s">
        <v>35</v>
      </c>
      <c r="D6" s="67"/>
      <c r="E6" s="68"/>
      <c r="F6" s="14" t="str">
        <f ca="1">INDIRECT(ADDRESS(27,7))&amp;":"&amp;INDIRECT(ADDRESS(27,6))</f>
        <v>8:13</v>
      </c>
      <c r="G6" s="15" t="s">
        <v>5</v>
      </c>
      <c r="H6" s="16" t="str">
        <f ca="1">INDIRECT(ADDRESS(37,6))&amp;":"&amp;INDIRECT(ADDRESS(37,7))</f>
        <v>7:13</v>
      </c>
      <c r="I6" s="16" t="str">
        <f ca="1">INDIRECT(ADDRESS(41,7))&amp;":"&amp;INDIRECT(ADDRESS(41,6))</f>
        <v>10:9</v>
      </c>
      <c r="J6" s="16" t="str">
        <f ca="1">INDIRECT(ADDRESS(21,6))&amp;":"&amp;INDIRECT(ADDRESS(21,7))</f>
        <v>10:7</v>
      </c>
      <c r="K6" s="17" t="str">
        <f ca="1">INDIRECT(ADDRESS(30,6))&amp;":"&amp;INDIRECT(ADDRESS(30,7))</f>
        <v>13:3</v>
      </c>
      <c r="L6" s="72">
        <f ca="1">IF(COUNT(F7:K7)=0,"",COUNTIF(F7:K7,"&gt;0")+0.5*COUNTIF(F7:K7,0))</f>
        <v>3</v>
      </c>
      <c r="M6" s="12"/>
      <c r="N6" s="74">
        <v>3</v>
      </c>
    </row>
    <row r="7" spans="2:14" ht="24" customHeight="1" x14ac:dyDescent="0.25">
      <c r="B7" s="76"/>
      <c r="C7" s="66"/>
      <c r="D7" s="67"/>
      <c r="E7" s="68"/>
      <c r="F7" s="18">
        <f ca="1">IF(LEN(INDIRECT(ADDRESS(ROW()-1, COLUMN())))=1,"",INDIRECT(ADDRESS(27,7))-INDIRECT(ADDRESS(27,6)))</f>
        <v>-5</v>
      </c>
      <c r="G7" s="19" t="s">
        <v>5</v>
      </c>
      <c r="H7" s="12">
        <f ca="1">IF(LEN(INDIRECT(ADDRESS(ROW()-1, COLUMN())))=1,"",INDIRECT(ADDRESS(37,6))-INDIRECT(ADDRESS(37,7)))</f>
        <v>-6</v>
      </c>
      <c r="I7" s="12">
        <f ca="1">IF(LEN(INDIRECT(ADDRESS(ROW()-1, COLUMN())))=1,"",INDIRECT(ADDRESS(41,7))-INDIRECT(ADDRESS(41,6)))</f>
        <v>1</v>
      </c>
      <c r="J7" s="12">
        <f ca="1">IF(LEN(INDIRECT(ADDRESS(ROW()-1, COLUMN())))=1,"",INDIRECT(ADDRESS(21,6))-INDIRECT(ADDRESS(21,7)))</f>
        <v>3</v>
      </c>
      <c r="K7" s="13">
        <f ca="1">IF(LEN(INDIRECT(ADDRESS(ROW()-1, COLUMN())))=1,"",INDIRECT(ADDRESS(30,6))-INDIRECT(ADDRESS(30,7)))</f>
        <v>10</v>
      </c>
      <c r="L7" s="72"/>
      <c r="M7" s="12">
        <f ca="1">IF(COUNT(F7:K7)=0,"",SUM(F7:K7))</f>
        <v>3</v>
      </c>
      <c r="N7" s="77"/>
    </row>
    <row r="8" spans="2:14" ht="24" customHeight="1" x14ac:dyDescent="0.25">
      <c r="B8" s="64">
        <v>3</v>
      </c>
      <c r="C8" s="78" t="s">
        <v>36</v>
      </c>
      <c r="D8" s="79"/>
      <c r="E8" s="80"/>
      <c r="F8" s="14" t="str">
        <f ca="1">INDIRECT(ADDRESS(31,6))&amp;":"&amp;INDIRECT(ADDRESS(31,7))</f>
        <v>4:13</v>
      </c>
      <c r="G8" s="16" t="str">
        <f ca="1">INDIRECT(ADDRESS(37,7))&amp;":"&amp;INDIRECT(ADDRESS(37,6))</f>
        <v>13:7</v>
      </c>
      <c r="H8" s="15" t="s">
        <v>5</v>
      </c>
      <c r="I8" s="16" t="str">
        <f ca="1">INDIRECT(ADDRESS(22,6))&amp;":"&amp;INDIRECT(ADDRESS(22,7))</f>
        <v>13:8</v>
      </c>
      <c r="J8" s="16" t="str">
        <f ca="1">INDIRECT(ADDRESS(26,7))&amp;":"&amp;INDIRECT(ADDRESS(26,6))</f>
        <v>13:6</v>
      </c>
      <c r="K8" s="17" t="str">
        <f ca="1">INDIRECT(ADDRESS(40,6))&amp;":"&amp;INDIRECT(ADDRESS(40,7))</f>
        <v>13:8</v>
      </c>
      <c r="L8" s="72">
        <f ca="1">IF(COUNT(F9:K9)=0,"",COUNTIF(F9:K9,"&gt;0")+0.5*COUNTIF(F9:K9,0))</f>
        <v>4</v>
      </c>
      <c r="M8" s="12"/>
      <c r="N8" s="81">
        <v>2</v>
      </c>
    </row>
    <row r="9" spans="2:14" ht="24" customHeight="1" x14ac:dyDescent="0.25">
      <c r="B9" s="76"/>
      <c r="C9" s="78"/>
      <c r="D9" s="79"/>
      <c r="E9" s="80"/>
      <c r="F9" s="18">
        <f ca="1">IF(LEN(INDIRECT(ADDRESS(ROW()-1, COLUMN())))=1,"",INDIRECT(ADDRESS(31,6))-INDIRECT(ADDRESS(31,7)))</f>
        <v>-9</v>
      </c>
      <c r="G9" s="12">
        <f ca="1">IF(LEN(INDIRECT(ADDRESS(ROW()-1, COLUMN())))=1,"",INDIRECT(ADDRESS(37,7))-INDIRECT(ADDRESS(37,6)))</f>
        <v>6</v>
      </c>
      <c r="H9" s="19" t="s">
        <v>5</v>
      </c>
      <c r="I9" s="12">
        <f ca="1">IF(LEN(INDIRECT(ADDRESS(ROW()-1, COLUMN())))=1,"",INDIRECT(ADDRESS(22,6))-INDIRECT(ADDRESS(22,7)))</f>
        <v>5</v>
      </c>
      <c r="J9" s="12">
        <f ca="1">IF(LEN(INDIRECT(ADDRESS(ROW()-1, COLUMN())))=1,"",INDIRECT(ADDRESS(26,7))-INDIRECT(ADDRESS(26,6)))</f>
        <v>7</v>
      </c>
      <c r="K9" s="13">
        <f ca="1">IF(LEN(INDIRECT(ADDRESS(ROW()-1, COLUMN())))=1,"",INDIRECT(ADDRESS(40,6))-INDIRECT(ADDRESS(40,7)))</f>
        <v>5</v>
      </c>
      <c r="L9" s="72"/>
      <c r="M9" s="12">
        <f ca="1">IF(COUNT(F9:K9)=0,"",SUM(F9:K9))</f>
        <v>14</v>
      </c>
      <c r="N9" s="82"/>
    </row>
    <row r="10" spans="2:14" ht="24" customHeight="1" x14ac:dyDescent="0.25">
      <c r="B10" s="64">
        <v>4</v>
      </c>
      <c r="C10" s="66" t="s">
        <v>37</v>
      </c>
      <c r="D10" s="67"/>
      <c r="E10" s="68"/>
      <c r="F10" s="14" t="str">
        <f ca="1">INDIRECT(ADDRESS(36,7))&amp;":"&amp;INDIRECT(ADDRESS(36,6))</f>
        <v>9:13</v>
      </c>
      <c r="G10" s="16" t="str">
        <f ca="1">INDIRECT(ADDRESS(41,6))&amp;":"&amp;INDIRECT(ADDRESS(41,7))</f>
        <v>9:10</v>
      </c>
      <c r="H10" s="16" t="str">
        <f ca="1">INDIRECT(ADDRESS(22,7))&amp;":"&amp;INDIRECT(ADDRESS(22,6))</f>
        <v>8:13</v>
      </c>
      <c r="I10" s="15" t="s">
        <v>5</v>
      </c>
      <c r="J10" s="16" t="str">
        <f ca="1">INDIRECT(ADDRESS(32,6))&amp;":"&amp;INDIRECT(ADDRESS(32,7))</f>
        <v>13:10</v>
      </c>
      <c r="K10" s="17" t="str">
        <f ca="1">INDIRECT(ADDRESS(25,7))&amp;":"&amp;INDIRECT(ADDRESS(25,6))</f>
        <v>8:13</v>
      </c>
      <c r="L10" s="72">
        <f ca="1">IF(COUNT(F11:K11)=0,"",COUNTIF(F11:K11,"&gt;0")+0.5*COUNTIF(F11:K11,0))</f>
        <v>1</v>
      </c>
      <c r="M10" s="12"/>
      <c r="N10" s="74">
        <v>5</v>
      </c>
    </row>
    <row r="11" spans="2:14" ht="24" customHeight="1" x14ac:dyDescent="0.25">
      <c r="B11" s="76"/>
      <c r="C11" s="66"/>
      <c r="D11" s="67"/>
      <c r="E11" s="68"/>
      <c r="F11" s="18">
        <f ca="1">IF(LEN(INDIRECT(ADDRESS(ROW()-1, COLUMN())))=1,"",INDIRECT(ADDRESS(36,7))-INDIRECT(ADDRESS(36,6)))</f>
        <v>-4</v>
      </c>
      <c r="G11" s="12">
        <f ca="1">IF(LEN(INDIRECT(ADDRESS(ROW()-1, COLUMN())))=1,"",INDIRECT(ADDRESS(41,6))-INDIRECT(ADDRESS(41,7)))</f>
        <v>-1</v>
      </c>
      <c r="H11" s="12">
        <f ca="1">IF(LEN(INDIRECT(ADDRESS(ROW()-1, COLUMN())))=1,"",INDIRECT(ADDRESS(22,7))-INDIRECT(ADDRESS(22,6)))</f>
        <v>-5</v>
      </c>
      <c r="I11" s="19" t="s">
        <v>5</v>
      </c>
      <c r="J11" s="12">
        <f ca="1">IF(LEN(INDIRECT(ADDRESS(ROW()-1, COLUMN())))=1,"",INDIRECT(ADDRESS(32,6))-INDIRECT(ADDRESS(32,7)))</f>
        <v>3</v>
      </c>
      <c r="K11" s="13">
        <f ca="1">IF(LEN(INDIRECT(ADDRESS(ROW()-1, COLUMN())))=1,"",INDIRECT(ADDRESS(25,7))-INDIRECT(ADDRESS(25,6)))</f>
        <v>-5</v>
      </c>
      <c r="L11" s="72"/>
      <c r="M11" s="12">
        <f ca="1">IF(COUNT(F11:K11)=0,"",SUM(F11:K11))</f>
        <v>-12</v>
      </c>
      <c r="N11" s="77"/>
    </row>
    <row r="12" spans="2:14" ht="24" customHeight="1" x14ac:dyDescent="0.25">
      <c r="B12" s="64">
        <v>5</v>
      </c>
      <c r="C12" s="66" t="s">
        <v>38</v>
      </c>
      <c r="D12" s="67"/>
      <c r="E12" s="68"/>
      <c r="F12" s="14" t="str">
        <f ca="1">INDIRECT(ADDRESS(42,6))&amp;":"&amp;INDIRECT(ADDRESS(42,7))</f>
        <v>6:13</v>
      </c>
      <c r="G12" s="16" t="str">
        <f ca="1">INDIRECT(ADDRESS(21,7))&amp;":"&amp;INDIRECT(ADDRESS(21,6))</f>
        <v>7:10</v>
      </c>
      <c r="H12" s="16" t="str">
        <f ca="1">INDIRECT(ADDRESS(26,6))&amp;":"&amp;INDIRECT(ADDRESS(26,7))</f>
        <v>6:13</v>
      </c>
      <c r="I12" s="16" t="str">
        <f ca="1">INDIRECT(ADDRESS(32,7))&amp;":"&amp;INDIRECT(ADDRESS(32,6))</f>
        <v>10:13</v>
      </c>
      <c r="J12" s="15" t="s">
        <v>5</v>
      </c>
      <c r="K12" s="17" t="str">
        <f ca="1">INDIRECT(ADDRESS(35,7))&amp;":"&amp;INDIRECT(ADDRESS(35,6))</f>
        <v>7:10</v>
      </c>
      <c r="L12" s="72">
        <f ca="1">IF(COUNT(F13:K13)=0,"",COUNTIF(F13:K13,"&gt;0")+0.5*COUNTIF(F13:K13,0))</f>
        <v>0</v>
      </c>
      <c r="M12" s="12"/>
      <c r="N12" s="74">
        <v>6</v>
      </c>
    </row>
    <row r="13" spans="2:14" ht="24" customHeight="1" x14ac:dyDescent="0.25">
      <c r="B13" s="76"/>
      <c r="C13" s="66"/>
      <c r="D13" s="67"/>
      <c r="E13" s="68"/>
      <c r="F13" s="18">
        <f ca="1">IF(LEN(INDIRECT(ADDRESS(ROW()-1, COLUMN())))=1,"",INDIRECT(ADDRESS(42,6))-INDIRECT(ADDRESS(42,7)))</f>
        <v>-7</v>
      </c>
      <c r="G13" s="12">
        <f ca="1">IF(LEN(INDIRECT(ADDRESS(ROW()-1, COLUMN())))=1,"",INDIRECT(ADDRESS(21,7))-INDIRECT(ADDRESS(21,6)))</f>
        <v>-3</v>
      </c>
      <c r="H13" s="12">
        <f ca="1">IF(LEN(INDIRECT(ADDRESS(ROW()-1, COLUMN())))=1,"",INDIRECT(ADDRESS(26,6))-INDIRECT(ADDRESS(26,7)))</f>
        <v>-7</v>
      </c>
      <c r="I13" s="12">
        <f ca="1">IF(LEN(INDIRECT(ADDRESS(ROW()-1, COLUMN())))=1,"",INDIRECT(ADDRESS(32,7))-INDIRECT(ADDRESS(32,6)))</f>
        <v>-3</v>
      </c>
      <c r="J13" s="19" t="s">
        <v>5</v>
      </c>
      <c r="K13" s="13">
        <f ca="1">IF(LEN(INDIRECT(ADDRESS(ROW()-1, COLUMN())))=1,"",INDIRECT(ADDRESS(35,7))-INDIRECT(ADDRESS(35,6)))</f>
        <v>-3</v>
      </c>
      <c r="L13" s="72"/>
      <c r="M13" s="12">
        <f ca="1">IF(COUNT(F13:K13)=0,"",SUM(F13:K13))</f>
        <v>-23</v>
      </c>
      <c r="N13" s="77"/>
    </row>
    <row r="14" spans="2:14" ht="24" customHeight="1" x14ac:dyDescent="0.25">
      <c r="B14" s="64">
        <v>6</v>
      </c>
      <c r="C14" s="66" t="s">
        <v>39</v>
      </c>
      <c r="D14" s="67"/>
      <c r="E14" s="68"/>
      <c r="F14" s="14" t="str">
        <f ca="1">INDIRECT(ADDRESS(20,7))&amp;":"&amp;INDIRECT(ADDRESS(20,6))</f>
        <v>10:12</v>
      </c>
      <c r="G14" s="16" t="str">
        <f ca="1">INDIRECT(ADDRESS(30,7))&amp;":"&amp;INDIRECT(ADDRESS(30,6))</f>
        <v>3:13</v>
      </c>
      <c r="H14" s="16" t="str">
        <f ca="1">INDIRECT(ADDRESS(40,7))&amp;":"&amp;INDIRECT(ADDRESS(40,6))</f>
        <v>8:13</v>
      </c>
      <c r="I14" s="16" t="str">
        <f ca="1">INDIRECT(ADDRESS(25,6))&amp;":"&amp;INDIRECT(ADDRESS(25,7))</f>
        <v>13:8</v>
      </c>
      <c r="J14" s="16" t="str">
        <f ca="1">INDIRECT(ADDRESS(35,6))&amp;":"&amp;INDIRECT(ADDRESS(35,7))</f>
        <v>10:7</v>
      </c>
      <c r="K14" s="20" t="s">
        <v>5</v>
      </c>
      <c r="L14" s="72">
        <f ca="1">IF(COUNT(F15:K15)=0,"",COUNTIF(F15:K15,"&gt;0")+0.5*COUNTIF(F15:K15,0))</f>
        <v>2</v>
      </c>
      <c r="M14" s="12"/>
      <c r="N14" s="74">
        <v>4</v>
      </c>
    </row>
    <row r="15" spans="2:14" ht="24" customHeight="1" thickBot="1" x14ac:dyDescent="0.3">
      <c r="B15" s="65"/>
      <c r="C15" s="69"/>
      <c r="D15" s="70"/>
      <c r="E15" s="71"/>
      <c r="F15" s="21">
        <f ca="1">IF(LEN(INDIRECT(ADDRESS(ROW()-1, COLUMN())))=1,"",INDIRECT(ADDRESS(20,7))-INDIRECT(ADDRESS(20,6)))</f>
        <v>-2</v>
      </c>
      <c r="G15" s="22">
        <f ca="1">IF(LEN(INDIRECT(ADDRESS(ROW()-1, COLUMN())))=1,"",INDIRECT(ADDRESS(30,7))-INDIRECT(ADDRESS(30,6)))</f>
        <v>-10</v>
      </c>
      <c r="H15" s="22">
        <f ca="1">IF(LEN(INDIRECT(ADDRESS(ROW()-1, COLUMN())))=1,"",INDIRECT(ADDRESS(40,7))-INDIRECT(ADDRESS(40,6)))</f>
        <v>-5</v>
      </c>
      <c r="I15" s="22">
        <f ca="1">IF(LEN(INDIRECT(ADDRESS(ROW()-1, COLUMN())))=1,"",INDIRECT(ADDRESS(25,6))-INDIRECT(ADDRESS(25,7)))</f>
        <v>5</v>
      </c>
      <c r="J15" s="22">
        <f ca="1">IF(LEN(INDIRECT(ADDRESS(ROW()-1, COLUMN())))=1,"",INDIRECT(ADDRESS(35,6))-INDIRECT(ADDRESS(35,7)))</f>
        <v>3</v>
      </c>
      <c r="K15" s="23" t="s">
        <v>5</v>
      </c>
      <c r="L15" s="73"/>
      <c r="M15" s="22">
        <f ca="1">IF(COUNT(F15:K15)=0,"",SUM(F15:K15))</f>
        <v>-9</v>
      </c>
      <c r="N15" s="75"/>
    </row>
    <row r="19" spans="1:13" s="36" customFormat="1" ht="30" customHeight="1" thickBot="1" x14ac:dyDescent="0.4">
      <c r="A19" s="35"/>
      <c r="B19" s="63" t="s">
        <v>12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3" s="36" customFormat="1" ht="30" customHeight="1" thickBot="1" x14ac:dyDescent="0.4">
      <c r="A20" s="35"/>
      <c r="B20" s="37">
        <v>1</v>
      </c>
      <c r="C20" s="100" t="str">
        <f ca="1">IF(ISBLANK(INDIRECT(ADDRESS(B20*2+2,3))),"",INDIRECT(ADDRESS(B20*2+2,3)))</f>
        <v>Мирошниченко</v>
      </c>
      <c r="D20" s="100"/>
      <c r="E20" s="101"/>
      <c r="F20" s="38">
        <v>12</v>
      </c>
      <c r="G20" s="39">
        <v>10</v>
      </c>
      <c r="H20" s="102" t="str">
        <f ca="1">IF(ISBLANK(INDIRECT(ADDRESS(K20*2+2,3))),"",INDIRECT(ADDRESS(K20*2+2,3)))</f>
        <v>Гуменюк</v>
      </c>
      <c r="I20" s="100"/>
      <c r="J20" s="100"/>
      <c r="K20" s="37">
        <v>6</v>
      </c>
      <c r="L20" s="40" t="s">
        <v>13</v>
      </c>
      <c r="M20" s="28">
        <v>1</v>
      </c>
    </row>
    <row r="21" spans="1:13" s="36" customFormat="1" ht="30" customHeight="1" thickBot="1" x14ac:dyDescent="0.4">
      <c r="A21" s="35"/>
      <c r="B21" s="37">
        <v>2</v>
      </c>
      <c r="C21" s="100" t="str">
        <f ca="1">IF(ISBLANK(INDIRECT(ADDRESS(B21*2+2,3))),"",INDIRECT(ADDRESS(B21*2+2,3)))</f>
        <v>Багаутдинова</v>
      </c>
      <c r="D21" s="100"/>
      <c r="E21" s="101"/>
      <c r="F21" s="38">
        <v>10</v>
      </c>
      <c r="G21" s="39">
        <v>7</v>
      </c>
      <c r="H21" s="102" t="str">
        <f ca="1">IF(ISBLANK(INDIRECT(ADDRESS(K21*2+2,3))),"",INDIRECT(ADDRESS(K21*2+2,3)))</f>
        <v>Домбровская</v>
      </c>
      <c r="I21" s="100"/>
      <c r="J21" s="100"/>
      <c r="K21" s="37">
        <v>5</v>
      </c>
      <c r="L21" s="40" t="s">
        <v>13</v>
      </c>
      <c r="M21" s="28">
        <v>2</v>
      </c>
    </row>
    <row r="22" spans="1:13" s="36" customFormat="1" ht="30" customHeight="1" thickBot="1" x14ac:dyDescent="0.4">
      <c r="A22" s="35"/>
      <c r="B22" s="37">
        <v>3</v>
      </c>
      <c r="C22" s="100" t="str">
        <f ca="1">IF(ISBLANK(INDIRECT(ADDRESS(B22*2+2,3))),"",INDIRECT(ADDRESS(B22*2+2,3)))</f>
        <v>Сафонова</v>
      </c>
      <c r="D22" s="100"/>
      <c r="E22" s="101"/>
      <c r="F22" s="38">
        <v>13</v>
      </c>
      <c r="G22" s="39">
        <v>8</v>
      </c>
      <c r="H22" s="102" t="str">
        <f ca="1">IF(ISBLANK(INDIRECT(ADDRESS(K22*2+2,3))),"",INDIRECT(ADDRESS(K22*2+2,3)))</f>
        <v>Таратина</v>
      </c>
      <c r="I22" s="100"/>
      <c r="J22" s="100"/>
      <c r="K22" s="37">
        <v>4</v>
      </c>
      <c r="L22" s="40" t="s">
        <v>13</v>
      </c>
      <c r="M22" s="28">
        <v>3</v>
      </c>
    </row>
    <row r="23" spans="1:13" s="36" customFormat="1" ht="30" customHeight="1" x14ac:dyDescent="0.35">
      <c r="A23" s="35"/>
      <c r="M23" s="29"/>
    </row>
    <row r="24" spans="1:13" s="36" customFormat="1" ht="30" customHeight="1" thickBot="1" x14ac:dyDescent="0.4">
      <c r="A24" s="35"/>
      <c r="B24" s="63" t="s">
        <v>14</v>
      </c>
      <c r="C24" s="63"/>
      <c r="D24" s="63"/>
      <c r="E24" s="63"/>
      <c r="F24" s="63"/>
      <c r="G24" s="63"/>
      <c r="H24" s="63"/>
      <c r="I24" s="63"/>
      <c r="J24" s="63"/>
      <c r="K24" s="63"/>
      <c r="M24" s="29"/>
    </row>
    <row r="25" spans="1:13" s="36" customFormat="1" ht="30" customHeight="1" thickBot="1" x14ac:dyDescent="0.4">
      <c r="A25" s="35"/>
      <c r="B25" s="37">
        <v>6</v>
      </c>
      <c r="C25" s="100" t="str">
        <f ca="1">IF(ISBLANK(INDIRECT(ADDRESS(B25*2+2,3))),"",INDIRECT(ADDRESS(B25*2+2,3)))</f>
        <v>Гуменюк</v>
      </c>
      <c r="D25" s="100"/>
      <c r="E25" s="101"/>
      <c r="F25" s="38">
        <v>13</v>
      </c>
      <c r="G25" s="39">
        <v>8</v>
      </c>
      <c r="H25" s="102" t="str">
        <f ca="1">IF(ISBLANK(INDIRECT(ADDRESS(K25*2+2,3))),"",INDIRECT(ADDRESS(K25*2+2,3)))</f>
        <v>Таратина</v>
      </c>
      <c r="I25" s="100"/>
      <c r="J25" s="100"/>
      <c r="K25" s="37">
        <v>4</v>
      </c>
      <c r="L25" s="40" t="s">
        <v>13</v>
      </c>
      <c r="M25" s="28">
        <v>2</v>
      </c>
    </row>
    <row r="26" spans="1:13" s="36" customFormat="1" ht="30" customHeight="1" thickBot="1" x14ac:dyDescent="0.4">
      <c r="A26" s="35"/>
      <c r="B26" s="37">
        <v>5</v>
      </c>
      <c r="C26" s="100" t="str">
        <f ca="1">IF(ISBLANK(INDIRECT(ADDRESS(B26*2+2,3))),"",INDIRECT(ADDRESS(B26*2+2,3)))</f>
        <v>Домбровская</v>
      </c>
      <c r="D26" s="100"/>
      <c r="E26" s="101"/>
      <c r="F26" s="38">
        <v>6</v>
      </c>
      <c r="G26" s="39">
        <v>13</v>
      </c>
      <c r="H26" s="102" t="str">
        <f ca="1">IF(ISBLANK(INDIRECT(ADDRESS(K26*2+2,3))),"",INDIRECT(ADDRESS(K26*2+2,3)))</f>
        <v>Сафонова</v>
      </c>
      <c r="I26" s="100"/>
      <c r="J26" s="100"/>
      <c r="K26" s="37">
        <v>3</v>
      </c>
      <c r="L26" s="40" t="s">
        <v>13</v>
      </c>
      <c r="M26" s="28">
        <v>1</v>
      </c>
    </row>
    <row r="27" spans="1:13" s="36" customFormat="1" ht="30" customHeight="1" thickBot="1" x14ac:dyDescent="0.4">
      <c r="A27" s="35"/>
      <c r="B27" s="37">
        <v>1</v>
      </c>
      <c r="C27" s="100" t="str">
        <f ca="1">IF(ISBLANK(INDIRECT(ADDRESS(B27*2+2,3))),"",INDIRECT(ADDRESS(B27*2+2,3)))</f>
        <v>Мирошниченко</v>
      </c>
      <c r="D27" s="100"/>
      <c r="E27" s="101"/>
      <c r="F27" s="38">
        <v>13</v>
      </c>
      <c r="G27" s="39">
        <v>8</v>
      </c>
      <c r="H27" s="102" t="str">
        <f ca="1">IF(ISBLANK(INDIRECT(ADDRESS(K27*2+2,3))),"",INDIRECT(ADDRESS(K27*2+2,3)))</f>
        <v>Багаутдинова</v>
      </c>
      <c r="I27" s="100"/>
      <c r="J27" s="100"/>
      <c r="K27" s="37">
        <v>2</v>
      </c>
      <c r="L27" s="40" t="s">
        <v>13</v>
      </c>
      <c r="M27" s="28">
        <v>4</v>
      </c>
    </row>
    <row r="28" spans="1:13" s="36" customFormat="1" ht="30" customHeight="1" x14ac:dyDescent="0.35">
      <c r="A28" s="35"/>
      <c r="M28" s="29"/>
    </row>
    <row r="29" spans="1:13" s="36" customFormat="1" ht="30" customHeight="1" thickBot="1" x14ac:dyDescent="0.4">
      <c r="A29" s="35"/>
      <c r="B29" s="63" t="s">
        <v>15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30" customHeight="1" thickBot="1" x14ac:dyDescent="0.4">
      <c r="A30" s="35"/>
      <c r="B30" s="37">
        <v>2</v>
      </c>
      <c r="C30" s="100" t="str">
        <f ca="1">IF(ISBLANK(INDIRECT(ADDRESS(B30*2+2,3))),"",INDIRECT(ADDRESS(B30*2+2,3)))</f>
        <v>Багаутдинова</v>
      </c>
      <c r="D30" s="100"/>
      <c r="E30" s="101"/>
      <c r="F30" s="38">
        <v>13</v>
      </c>
      <c r="G30" s="39">
        <v>3</v>
      </c>
      <c r="H30" s="102" t="str">
        <f ca="1">IF(ISBLANK(INDIRECT(ADDRESS(K30*2+2,3))),"",INDIRECT(ADDRESS(K30*2+2,3)))</f>
        <v>Гуменюк</v>
      </c>
      <c r="I30" s="100"/>
      <c r="J30" s="100"/>
      <c r="K30" s="37">
        <v>6</v>
      </c>
      <c r="L30" s="40" t="s">
        <v>13</v>
      </c>
      <c r="M30" s="28">
        <v>3</v>
      </c>
    </row>
    <row r="31" spans="1:13" s="36" customFormat="1" ht="30" customHeight="1" thickBot="1" x14ac:dyDescent="0.4">
      <c r="A31" s="35"/>
      <c r="B31" s="37">
        <v>3</v>
      </c>
      <c r="C31" s="100" t="str">
        <f ca="1">IF(ISBLANK(INDIRECT(ADDRESS(B31*2+2,3))),"",INDIRECT(ADDRESS(B31*2+2,3)))</f>
        <v>Сафонова</v>
      </c>
      <c r="D31" s="100"/>
      <c r="E31" s="101"/>
      <c r="F31" s="38">
        <v>4</v>
      </c>
      <c r="G31" s="39">
        <v>13</v>
      </c>
      <c r="H31" s="102" t="str">
        <f ca="1">IF(ISBLANK(INDIRECT(ADDRESS(K31*2+2,3))),"",INDIRECT(ADDRESS(K31*2+2,3)))</f>
        <v>Мирошниченко</v>
      </c>
      <c r="I31" s="100"/>
      <c r="J31" s="100"/>
      <c r="K31" s="37">
        <v>1</v>
      </c>
      <c r="L31" s="40" t="s">
        <v>13</v>
      </c>
      <c r="M31" s="28">
        <v>2</v>
      </c>
    </row>
    <row r="32" spans="1:13" s="36" customFormat="1" ht="30" customHeight="1" thickBot="1" x14ac:dyDescent="0.4">
      <c r="A32" s="35"/>
      <c r="B32" s="37">
        <v>4</v>
      </c>
      <c r="C32" s="100" t="str">
        <f ca="1">IF(ISBLANK(INDIRECT(ADDRESS(B32*2+2,3))),"",INDIRECT(ADDRESS(B32*2+2,3)))</f>
        <v>Таратина</v>
      </c>
      <c r="D32" s="100"/>
      <c r="E32" s="101"/>
      <c r="F32" s="38">
        <v>13</v>
      </c>
      <c r="G32" s="39">
        <v>10</v>
      </c>
      <c r="H32" s="102" t="str">
        <f ca="1">IF(ISBLANK(INDIRECT(ADDRESS(K32*2+2,3))),"",INDIRECT(ADDRESS(K32*2+2,3)))</f>
        <v>Домбровская</v>
      </c>
      <c r="I32" s="100"/>
      <c r="J32" s="100"/>
      <c r="K32" s="37">
        <v>5</v>
      </c>
      <c r="L32" s="40" t="s">
        <v>13</v>
      </c>
      <c r="M32" s="28">
        <v>4</v>
      </c>
    </row>
    <row r="33" spans="1:13" s="36" customFormat="1" ht="30" customHeight="1" x14ac:dyDescent="0.35">
      <c r="A33" s="35"/>
      <c r="M33" s="29"/>
    </row>
    <row r="34" spans="1:13" s="36" customFormat="1" ht="30" customHeight="1" thickBot="1" x14ac:dyDescent="0.4">
      <c r="A34" s="35"/>
      <c r="B34" s="63" t="s">
        <v>16</v>
      </c>
      <c r="C34" s="63"/>
      <c r="D34" s="63"/>
      <c r="E34" s="63"/>
      <c r="F34" s="63"/>
      <c r="G34" s="63"/>
      <c r="H34" s="63"/>
      <c r="I34" s="63"/>
      <c r="J34" s="63"/>
      <c r="K34" s="63"/>
      <c r="M34" s="29"/>
    </row>
    <row r="35" spans="1:13" s="36" customFormat="1" ht="30" customHeight="1" thickBot="1" x14ac:dyDescent="0.4">
      <c r="A35" s="35"/>
      <c r="B35" s="37">
        <v>6</v>
      </c>
      <c r="C35" s="100" t="str">
        <f ca="1">IF(ISBLANK(INDIRECT(ADDRESS(B35*2+2,3))),"",INDIRECT(ADDRESS(B35*2+2,3)))</f>
        <v>Гуменюк</v>
      </c>
      <c r="D35" s="100"/>
      <c r="E35" s="101"/>
      <c r="F35" s="38">
        <v>10</v>
      </c>
      <c r="G35" s="39">
        <v>7</v>
      </c>
      <c r="H35" s="102" t="str">
        <f ca="1">IF(ISBLANK(INDIRECT(ADDRESS(K35*2+2,3))),"",INDIRECT(ADDRESS(K35*2+2,3)))</f>
        <v>Домбровская</v>
      </c>
      <c r="I35" s="100"/>
      <c r="J35" s="100"/>
      <c r="K35" s="37">
        <v>5</v>
      </c>
      <c r="L35" s="40" t="s">
        <v>13</v>
      </c>
      <c r="M35" s="28">
        <v>1</v>
      </c>
    </row>
    <row r="36" spans="1:13" s="36" customFormat="1" ht="30" customHeight="1" thickBot="1" x14ac:dyDescent="0.4">
      <c r="A36" s="35"/>
      <c r="B36" s="37">
        <v>1</v>
      </c>
      <c r="C36" s="100" t="str">
        <f ca="1">IF(ISBLANK(INDIRECT(ADDRESS(B36*2+2,3))),"",INDIRECT(ADDRESS(B36*2+2,3)))</f>
        <v>Мирошниченко</v>
      </c>
      <c r="D36" s="100"/>
      <c r="E36" s="101"/>
      <c r="F36" s="38">
        <v>13</v>
      </c>
      <c r="G36" s="39">
        <v>9</v>
      </c>
      <c r="H36" s="102" t="str">
        <f ca="1">IF(ISBLANK(INDIRECT(ADDRESS(K36*2+2,3))),"",INDIRECT(ADDRESS(K36*2+2,3)))</f>
        <v>Таратина</v>
      </c>
      <c r="I36" s="100"/>
      <c r="J36" s="100"/>
      <c r="K36" s="37">
        <v>4</v>
      </c>
      <c r="L36" s="40" t="s">
        <v>13</v>
      </c>
      <c r="M36" s="28">
        <v>3</v>
      </c>
    </row>
    <row r="37" spans="1:13" s="36" customFormat="1" ht="30" customHeight="1" thickBot="1" x14ac:dyDescent="0.4">
      <c r="A37" s="35"/>
      <c r="B37" s="37">
        <v>2</v>
      </c>
      <c r="C37" s="100" t="str">
        <f ca="1">IF(ISBLANK(INDIRECT(ADDRESS(B37*2+2,3))),"",INDIRECT(ADDRESS(B37*2+2,3)))</f>
        <v>Багаутдинова</v>
      </c>
      <c r="D37" s="100"/>
      <c r="E37" s="101"/>
      <c r="F37" s="38">
        <v>7</v>
      </c>
      <c r="G37" s="39">
        <v>13</v>
      </c>
      <c r="H37" s="102" t="str">
        <f ca="1">IF(ISBLANK(INDIRECT(ADDRESS(K37*2+2,3))),"",INDIRECT(ADDRESS(K37*2+2,3)))</f>
        <v>Сафонова</v>
      </c>
      <c r="I37" s="100"/>
      <c r="J37" s="100"/>
      <c r="K37" s="37">
        <v>3</v>
      </c>
      <c r="L37" s="40" t="s">
        <v>13</v>
      </c>
      <c r="M37" s="28">
        <v>4</v>
      </c>
    </row>
    <row r="38" spans="1:13" s="36" customFormat="1" ht="30" customHeight="1" x14ac:dyDescent="0.35">
      <c r="A38" s="35"/>
      <c r="M38" s="29"/>
    </row>
    <row r="39" spans="1:13" s="36" customFormat="1" ht="30" customHeight="1" thickBot="1" x14ac:dyDescent="0.4">
      <c r="A39" s="35"/>
      <c r="B39" s="63" t="s">
        <v>17</v>
      </c>
      <c r="C39" s="63"/>
      <c r="D39" s="63"/>
      <c r="E39" s="63"/>
      <c r="F39" s="63"/>
      <c r="G39" s="63"/>
      <c r="H39" s="63"/>
      <c r="I39" s="63"/>
      <c r="J39" s="63"/>
      <c r="K39" s="63"/>
      <c r="M39" s="29"/>
    </row>
    <row r="40" spans="1:13" s="36" customFormat="1" ht="30" customHeight="1" thickBot="1" x14ac:dyDescent="0.4">
      <c r="A40" s="35"/>
      <c r="B40" s="37">
        <v>3</v>
      </c>
      <c r="C40" s="100" t="str">
        <f ca="1">IF(ISBLANK(INDIRECT(ADDRESS(B40*2+2,3))),"",INDIRECT(ADDRESS(B40*2+2,3)))</f>
        <v>Сафонова</v>
      </c>
      <c r="D40" s="100"/>
      <c r="E40" s="101"/>
      <c r="F40" s="38">
        <v>13</v>
      </c>
      <c r="G40" s="39">
        <v>8</v>
      </c>
      <c r="H40" s="102" t="str">
        <f ca="1">IF(ISBLANK(INDIRECT(ADDRESS(K40*2+2,3))),"",INDIRECT(ADDRESS(K40*2+2,3)))</f>
        <v>Гуменюк</v>
      </c>
      <c r="I40" s="100"/>
      <c r="J40" s="100"/>
      <c r="K40" s="37">
        <v>6</v>
      </c>
      <c r="L40" s="40" t="s">
        <v>13</v>
      </c>
      <c r="M40" s="28">
        <v>2</v>
      </c>
    </row>
    <row r="41" spans="1:13" s="36" customFormat="1" ht="30" customHeight="1" thickBot="1" x14ac:dyDescent="0.4">
      <c r="A41" s="35"/>
      <c r="B41" s="37">
        <v>4</v>
      </c>
      <c r="C41" s="100" t="str">
        <f ca="1">IF(ISBLANK(INDIRECT(ADDRESS(B41*2+2,3))),"",INDIRECT(ADDRESS(B41*2+2,3)))</f>
        <v>Таратина</v>
      </c>
      <c r="D41" s="100"/>
      <c r="E41" s="101"/>
      <c r="F41" s="38">
        <v>9</v>
      </c>
      <c r="G41" s="39">
        <v>10</v>
      </c>
      <c r="H41" s="102" t="str">
        <f ca="1">IF(ISBLANK(INDIRECT(ADDRESS(K41*2+2,3))),"",INDIRECT(ADDRESS(K41*2+2,3)))</f>
        <v>Багаутдинова</v>
      </c>
      <c r="I41" s="100"/>
      <c r="J41" s="100"/>
      <c r="K41" s="37">
        <v>2</v>
      </c>
      <c r="L41" s="40" t="s">
        <v>13</v>
      </c>
      <c r="M41" s="28">
        <v>1</v>
      </c>
    </row>
    <row r="42" spans="1:13" s="36" customFormat="1" ht="30" customHeight="1" thickBot="1" x14ac:dyDescent="0.4">
      <c r="A42" s="35"/>
      <c r="B42" s="37">
        <v>5</v>
      </c>
      <c r="C42" s="100" t="str">
        <f ca="1">IF(ISBLANK(INDIRECT(ADDRESS(B42*2+2,3))),"",INDIRECT(ADDRESS(B42*2+2,3)))</f>
        <v>Домбровская</v>
      </c>
      <c r="D42" s="100"/>
      <c r="E42" s="101"/>
      <c r="F42" s="38">
        <v>6</v>
      </c>
      <c r="G42" s="39">
        <v>13</v>
      </c>
      <c r="H42" s="102" t="str">
        <f ca="1">IF(ISBLANK(INDIRECT(ADDRESS(K42*2+2,3))),"",INDIRECT(ADDRESS(K42*2+2,3)))</f>
        <v>Мирошниченко</v>
      </c>
      <c r="I42" s="100"/>
      <c r="J42" s="100"/>
      <c r="K42" s="37">
        <v>1</v>
      </c>
      <c r="L42" s="40" t="s">
        <v>13</v>
      </c>
      <c r="M42" s="28">
        <v>4</v>
      </c>
    </row>
  </sheetData>
  <mergeCells count="61">
    <mergeCell ref="N4:N5"/>
    <mergeCell ref="B1:K1"/>
    <mergeCell ref="C3:E3"/>
    <mergeCell ref="B4:B5"/>
    <mergeCell ref="C4:E5"/>
    <mergeCell ref="L4:L5"/>
    <mergeCell ref="B6:B7"/>
    <mergeCell ref="C6:E7"/>
    <mergeCell ref="L6:L7"/>
    <mergeCell ref="N6:N7"/>
    <mergeCell ref="B8:B9"/>
    <mergeCell ref="C8:E9"/>
    <mergeCell ref="L8:L9"/>
    <mergeCell ref="N8:N9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32:E32"/>
    <mergeCell ref="H32:J32"/>
    <mergeCell ref="B34:K34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40:J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1" sqref="B1:M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46.5" x14ac:dyDescent="0.25">
      <c r="B1" s="84" t="s">
        <v>27</v>
      </c>
      <c r="C1" s="84"/>
      <c r="D1" s="84"/>
      <c r="E1" s="84"/>
      <c r="F1" s="84"/>
      <c r="G1" s="84"/>
      <c r="H1" s="84"/>
      <c r="I1" s="84"/>
      <c r="J1" s="84"/>
      <c r="K1" s="84"/>
      <c r="L1" s="33" t="s">
        <v>46</v>
      </c>
      <c r="M1" t="s">
        <v>40</v>
      </c>
    </row>
    <row r="2" spans="2:13" ht="15.75" thickBot="1" x14ac:dyDescent="0.3">
      <c r="M2"/>
    </row>
    <row r="3" spans="2:13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ht="21" x14ac:dyDescent="0.25">
      <c r="B4" s="88">
        <v>1</v>
      </c>
      <c r="C4" s="104" t="s">
        <v>41</v>
      </c>
      <c r="D4" s="105"/>
      <c r="E4" s="106"/>
      <c r="F4" s="7" t="s">
        <v>5</v>
      </c>
      <c r="G4" s="8" t="str">
        <f ca="1">INDIRECT(ADDRESS(23,6))&amp;":"&amp;INDIRECT(ADDRESS(23,7))</f>
        <v>6:13</v>
      </c>
      <c r="H4" s="8" t="str">
        <f ca="1">INDIRECT(ADDRESS(26,7))&amp;":"&amp;INDIRECT(ADDRESS(26,6))</f>
        <v>10:13</v>
      </c>
      <c r="I4" s="8" t="str">
        <f ca="1">INDIRECT(ADDRESS(30,6))&amp;":"&amp;INDIRECT(ADDRESS(30,7))</f>
        <v>13:6</v>
      </c>
      <c r="J4" s="9" t="str">
        <f ca="1">INDIRECT(ADDRESS(35,7))&amp;":"&amp;INDIRECT(ADDRESS(35,6))</f>
        <v>13:5</v>
      </c>
      <c r="K4" s="99">
        <f ca="1">IF(COUNT(F5:J5)=0,"",COUNTIF(F5:J5,"&gt;0")+0.5*COUNTIF(F5:J5,0))</f>
        <v>2</v>
      </c>
      <c r="L4" s="10"/>
      <c r="M4" s="103">
        <v>3</v>
      </c>
    </row>
    <row r="5" spans="2:13" ht="21" x14ac:dyDescent="0.25">
      <c r="B5" s="76"/>
      <c r="C5" s="107"/>
      <c r="D5" s="108"/>
      <c r="E5" s="109"/>
      <c r="F5" s="11" t="s">
        <v>5</v>
      </c>
      <c r="G5" s="12">
        <f ca="1">IF(LEN(INDIRECT(ADDRESS(ROW()-1, COLUMN())))=1,"",INDIRECT(ADDRESS(23,6))-INDIRECT(ADDRESS(23,7)))</f>
        <v>-7</v>
      </c>
      <c r="H5" s="12">
        <f ca="1">IF(LEN(INDIRECT(ADDRESS(ROW()-1, COLUMN())))=1,"",INDIRECT(ADDRESS(26,7))-INDIRECT(ADDRESS(26,6)))</f>
        <v>-3</v>
      </c>
      <c r="I5" s="12">
        <f ca="1">IF(LEN(INDIRECT(ADDRESS(ROW()-1, COLUMN())))=1,"",INDIRECT(ADDRESS(30,6))-INDIRECT(ADDRESS(30,7)))</f>
        <v>7</v>
      </c>
      <c r="J5" s="13">
        <f ca="1">IF(LEN(INDIRECT(ADDRESS(ROW()-1, COLUMN())))=1,"",INDIRECT(ADDRESS(35,7))-INDIRECT(ADDRESS(35,6)))</f>
        <v>8</v>
      </c>
      <c r="K5" s="93"/>
      <c r="L5" s="12">
        <f ca="1">IF(COUNT(F5:J5)=0,"",SUM(F5:J5))</f>
        <v>5</v>
      </c>
      <c r="M5" s="94"/>
    </row>
    <row r="6" spans="2:13" ht="21" x14ac:dyDescent="0.25">
      <c r="B6" s="64">
        <v>2</v>
      </c>
      <c r="C6" s="78" t="s">
        <v>42</v>
      </c>
      <c r="D6" s="79"/>
      <c r="E6" s="80"/>
      <c r="F6" s="14" t="str">
        <f ca="1">INDIRECT(ADDRESS(23,7))&amp;":"&amp;INDIRECT(ADDRESS(23,6))</f>
        <v>13:6</v>
      </c>
      <c r="G6" s="15" t="s">
        <v>5</v>
      </c>
      <c r="H6" s="16" t="str">
        <f ca="1">INDIRECT(ADDRESS(31,6))&amp;":"&amp;INDIRECT(ADDRESS(31,7))</f>
        <v>13:7</v>
      </c>
      <c r="I6" s="16" t="str">
        <f ca="1">INDIRECT(ADDRESS(34,7))&amp;":"&amp;INDIRECT(ADDRESS(34,6))</f>
        <v>13:9</v>
      </c>
      <c r="J6" s="17" t="str">
        <f ca="1">INDIRECT(ADDRESS(18,6))&amp;":"&amp;INDIRECT(ADDRESS(18,7))</f>
        <v>11:7</v>
      </c>
      <c r="K6" s="93">
        <f ca="1">IF(COUNT(F7:J7)=0,"",COUNTIF(F7:J7,"&gt;0")+0.5*COUNTIF(F7:J7,0))</f>
        <v>4</v>
      </c>
      <c r="L6" s="12"/>
      <c r="M6" s="97">
        <v>1</v>
      </c>
    </row>
    <row r="7" spans="2:13" ht="21" x14ac:dyDescent="0.25">
      <c r="B7" s="76"/>
      <c r="C7" s="78"/>
      <c r="D7" s="79"/>
      <c r="E7" s="80"/>
      <c r="F7" s="18">
        <f ca="1">IF(LEN(INDIRECT(ADDRESS(ROW()-1, COLUMN())))=1,"",INDIRECT(ADDRESS(23,7))-INDIRECT(ADDRESS(23,6)))</f>
        <v>7</v>
      </c>
      <c r="G7" s="19" t="s">
        <v>5</v>
      </c>
      <c r="H7" s="12">
        <f ca="1">IF(LEN(INDIRECT(ADDRESS(ROW()-1, COLUMN())))=1,"",INDIRECT(ADDRESS(31,6))-INDIRECT(ADDRESS(31,7)))</f>
        <v>6</v>
      </c>
      <c r="I7" s="12">
        <f ca="1">IF(LEN(INDIRECT(ADDRESS(ROW()-1, COLUMN())))=1,"",INDIRECT(ADDRESS(34,7))-INDIRECT(ADDRESS(34,6)))</f>
        <v>4</v>
      </c>
      <c r="J7" s="13">
        <f ca="1">IF(LEN(INDIRECT(ADDRESS(ROW()-1, COLUMN())))=1,"",INDIRECT(ADDRESS(18,6))-INDIRECT(ADDRESS(18,7)))</f>
        <v>4</v>
      </c>
      <c r="K7" s="93"/>
      <c r="L7" s="12">
        <f ca="1">IF(COUNT(F7:J7)=0,"",SUM(F7:J7))</f>
        <v>21</v>
      </c>
      <c r="M7" s="97"/>
    </row>
    <row r="8" spans="2:13" ht="21" x14ac:dyDescent="0.25">
      <c r="B8" s="64">
        <v>3</v>
      </c>
      <c r="C8" s="78" t="s">
        <v>43</v>
      </c>
      <c r="D8" s="79"/>
      <c r="E8" s="80"/>
      <c r="F8" s="14" t="str">
        <f ca="1">INDIRECT(ADDRESS(26,6))&amp;":"&amp;INDIRECT(ADDRESS(26,7))</f>
        <v>13:10</v>
      </c>
      <c r="G8" s="16" t="str">
        <f ca="1">INDIRECT(ADDRESS(31,7))&amp;":"&amp;INDIRECT(ADDRESS(31,6))</f>
        <v>7:13</v>
      </c>
      <c r="H8" s="15" t="s">
        <v>5</v>
      </c>
      <c r="I8" s="16" t="str">
        <f ca="1">INDIRECT(ADDRESS(19,6))&amp;":"&amp;INDIRECT(ADDRESS(19,7))</f>
        <v>13:10</v>
      </c>
      <c r="J8" s="17" t="str">
        <f ca="1">INDIRECT(ADDRESS(22,7))&amp;":"&amp;INDIRECT(ADDRESS(22,6))</f>
        <v>11:10</v>
      </c>
      <c r="K8" s="93">
        <f ca="1">IF(COUNT(F9:J9)=0,"",COUNTIF(F9:J9,"&gt;0")+0.5*COUNTIF(F9:J9,0))</f>
        <v>3</v>
      </c>
      <c r="L8" s="12"/>
      <c r="M8" s="97">
        <v>2</v>
      </c>
    </row>
    <row r="9" spans="2:13" ht="21" x14ac:dyDescent="0.25">
      <c r="B9" s="76"/>
      <c r="C9" s="78"/>
      <c r="D9" s="79"/>
      <c r="E9" s="80"/>
      <c r="F9" s="18">
        <f ca="1">IF(LEN(INDIRECT(ADDRESS(ROW()-1, COLUMN())))=1,"",INDIRECT(ADDRESS(26,6))-INDIRECT(ADDRESS(26,7)))</f>
        <v>3</v>
      </c>
      <c r="G9" s="12">
        <f ca="1">IF(LEN(INDIRECT(ADDRESS(ROW()-1, COLUMN())))=1,"",INDIRECT(ADDRESS(31,7))-INDIRECT(ADDRESS(31,6)))</f>
        <v>-6</v>
      </c>
      <c r="H9" s="19" t="s">
        <v>5</v>
      </c>
      <c r="I9" s="12">
        <f ca="1">IF(LEN(INDIRECT(ADDRESS(ROW()-1, COLUMN())))=1,"",INDIRECT(ADDRESS(19,6))-INDIRECT(ADDRESS(19,7)))</f>
        <v>3</v>
      </c>
      <c r="J9" s="13">
        <f ca="1">IF(LEN(INDIRECT(ADDRESS(ROW()-1, COLUMN())))=1,"",INDIRECT(ADDRESS(22,7))-INDIRECT(ADDRESS(22,6)))</f>
        <v>1</v>
      </c>
      <c r="K9" s="93"/>
      <c r="L9" s="12">
        <f ca="1">IF(COUNT(F9:J9)=0,"",SUM(F9:J9))</f>
        <v>1</v>
      </c>
      <c r="M9" s="97"/>
    </row>
    <row r="10" spans="2:13" ht="21" x14ac:dyDescent="0.25">
      <c r="B10" s="64">
        <v>4</v>
      </c>
      <c r="C10" s="66" t="s">
        <v>44</v>
      </c>
      <c r="D10" s="67"/>
      <c r="E10" s="68"/>
      <c r="F10" s="14" t="str">
        <f ca="1">INDIRECT(ADDRESS(30,7))&amp;":"&amp;INDIRECT(ADDRESS(30,6))</f>
        <v>6:13</v>
      </c>
      <c r="G10" s="16" t="str">
        <f ca="1">INDIRECT(ADDRESS(34,6))&amp;":"&amp;INDIRECT(ADDRESS(34,7))</f>
        <v>9:13</v>
      </c>
      <c r="H10" s="16" t="str">
        <f ca="1">INDIRECT(ADDRESS(19,7))&amp;":"&amp;INDIRECT(ADDRESS(19,6))</f>
        <v>10:13</v>
      </c>
      <c r="I10" s="15" t="s">
        <v>5</v>
      </c>
      <c r="J10" s="17" t="str">
        <f ca="1">INDIRECT(ADDRESS(27,6))&amp;":"&amp;INDIRECT(ADDRESS(27,7))</f>
        <v>13:8</v>
      </c>
      <c r="K10" s="93">
        <f ca="1">IF(COUNT(F11:J11)=0,"",COUNTIF(F11:J11,"&gt;0")+0.5*COUNTIF(F11:J11,0))</f>
        <v>1</v>
      </c>
      <c r="L10" s="12"/>
      <c r="M10" s="94">
        <v>4</v>
      </c>
    </row>
    <row r="11" spans="2:13" ht="21" x14ac:dyDescent="0.25">
      <c r="B11" s="76"/>
      <c r="C11" s="66"/>
      <c r="D11" s="67"/>
      <c r="E11" s="68"/>
      <c r="F11" s="18">
        <f ca="1">IF(LEN(INDIRECT(ADDRESS(ROW()-1, COLUMN())))=1,"",INDIRECT(ADDRESS(30,7))-INDIRECT(ADDRESS(30,6)))</f>
        <v>-7</v>
      </c>
      <c r="G11" s="12">
        <f ca="1">IF(LEN(INDIRECT(ADDRESS(ROW()-1, COLUMN())))=1,"",INDIRECT(ADDRESS(34,6))-INDIRECT(ADDRESS(34,7)))</f>
        <v>-4</v>
      </c>
      <c r="H11" s="12">
        <f ca="1">IF(LEN(INDIRECT(ADDRESS(ROW()-1, COLUMN())))=1,"",INDIRECT(ADDRESS(19,7))-INDIRECT(ADDRESS(19,6)))</f>
        <v>-3</v>
      </c>
      <c r="I11" s="19" t="s">
        <v>5</v>
      </c>
      <c r="J11" s="13">
        <f ca="1">IF(LEN(INDIRECT(ADDRESS(ROW()-1, COLUMN())))=1,"",INDIRECT(ADDRESS(27,6))-INDIRECT(ADDRESS(27,7)))</f>
        <v>5</v>
      </c>
      <c r="K11" s="93"/>
      <c r="L11" s="12">
        <f ca="1">IF(COUNT(F11:J11)=0,"",SUM(F11:J11))</f>
        <v>-9</v>
      </c>
      <c r="M11" s="94"/>
    </row>
    <row r="12" spans="2:13" ht="21" x14ac:dyDescent="0.25">
      <c r="B12" s="64">
        <v>5</v>
      </c>
      <c r="C12" s="66" t="s">
        <v>45</v>
      </c>
      <c r="D12" s="67"/>
      <c r="E12" s="68"/>
      <c r="F12" s="14" t="str">
        <f ca="1">INDIRECT(ADDRESS(35,6))&amp;":"&amp;INDIRECT(ADDRESS(35,7))</f>
        <v>5:13</v>
      </c>
      <c r="G12" s="16" t="str">
        <f ca="1">INDIRECT(ADDRESS(18,7))&amp;":"&amp;INDIRECT(ADDRESS(18,6))</f>
        <v>7:11</v>
      </c>
      <c r="H12" s="16" t="str">
        <f ca="1">INDIRECT(ADDRESS(22,6))&amp;":"&amp;INDIRECT(ADDRESS(22,7))</f>
        <v>10:11</v>
      </c>
      <c r="I12" s="16" t="str">
        <f ca="1">INDIRECT(ADDRESS(27,7))&amp;":"&amp;INDIRECT(ADDRESS(27,6))</f>
        <v>8:13</v>
      </c>
      <c r="J12" s="20" t="s">
        <v>5</v>
      </c>
      <c r="K12" s="93">
        <f ca="1">IF(COUNT(F13:J13)=0,"",COUNTIF(F13:J13,"&gt;0")+0.5*COUNTIF(F13:J13,0))</f>
        <v>0</v>
      </c>
      <c r="L12" s="12"/>
      <c r="M12" s="94">
        <v>5</v>
      </c>
    </row>
    <row r="13" spans="2:13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-8</v>
      </c>
      <c r="G13" s="22">
        <f ca="1">IF(LEN(INDIRECT(ADDRESS(ROW()-1, COLUMN())))=1,"",INDIRECT(ADDRESS(18,7))-INDIRECT(ADDRESS(18,6)))</f>
        <v>-4</v>
      </c>
      <c r="H13" s="22">
        <f ca="1">IF(LEN(INDIRECT(ADDRESS(ROW()-1, COLUMN())))=1,"",INDIRECT(ADDRESS(22,6))-INDIRECT(ADDRESS(22,7)))</f>
        <v>-1</v>
      </c>
      <c r="I13" s="22">
        <f ca="1">IF(LEN(INDIRECT(ADDRESS(ROW()-1, COLUMN())))=1,"",INDIRECT(ADDRESS(27,7))-INDIRECT(ADDRESS(27,6)))</f>
        <v>-5</v>
      </c>
      <c r="J13" s="23" t="s">
        <v>5</v>
      </c>
      <c r="K13" s="95"/>
      <c r="L13" s="22">
        <f ca="1">IF(COUNT(F13:J13)=0,"",SUM(F13:J13))</f>
        <v>-18</v>
      </c>
      <c r="M13" s="96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Крошилова</v>
      </c>
      <c r="D18" s="100"/>
      <c r="E18" s="101"/>
      <c r="F18" s="38">
        <v>11</v>
      </c>
      <c r="G18" s="39">
        <v>7</v>
      </c>
      <c r="H18" s="102" t="str">
        <f ca="1">IF(ISBLANK(INDIRECT(ADDRESS(K18*2+2,3))),"",INDIRECT(ADDRESS(K18*2+2,3)))</f>
        <v>Потапова</v>
      </c>
      <c r="I18" s="100"/>
      <c r="J18" s="100"/>
      <c r="K18" s="37">
        <v>5</v>
      </c>
      <c r="L18" s="40" t="s">
        <v>13</v>
      </c>
      <c r="M18" s="28"/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Ткаченко</v>
      </c>
      <c r="D19" s="100"/>
      <c r="E19" s="101"/>
      <c r="F19" s="38">
        <v>13</v>
      </c>
      <c r="G19" s="39">
        <v>10</v>
      </c>
      <c r="H19" s="102" t="str">
        <f ca="1">IF(ISBLANK(INDIRECT(ADDRESS(K19*2+2,3))),"",INDIRECT(ADDRESS(K19*2+2,3)))</f>
        <v>Чахова</v>
      </c>
      <c r="I19" s="100"/>
      <c r="J19" s="100"/>
      <c r="K19" s="37">
        <v>4</v>
      </c>
      <c r="L19" s="40" t="s">
        <v>13</v>
      </c>
      <c r="M19" s="28"/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Потапова</v>
      </c>
      <c r="D22" s="100"/>
      <c r="E22" s="101"/>
      <c r="F22" s="38">
        <v>10</v>
      </c>
      <c r="G22" s="39">
        <v>11</v>
      </c>
      <c r="H22" s="102" t="str">
        <f ca="1">IF(ISBLANK(INDIRECT(ADDRESS(K22*2+2,3))),"",INDIRECT(ADDRESS(K22*2+2,3)))</f>
        <v>Ткаченко</v>
      </c>
      <c r="I22" s="100"/>
      <c r="J22" s="100"/>
      <c r="K22" s="37">
        <v>3</v>
      </c>
      <c r="L22" s="40" t="s">
        <v>13</v>
      </c>
      <c r="M22" s="28"/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Крылова</v>
      </c>
      <c r="D23" s="100"/>
      <c r="E23" s="101"/>
      <c r="F23" s="38">
        <v>6</v>
      </c>
      <c r="G23" s="39">
        <v>13</v>
      </c>
      <c r="H23" s="102" t="str">
        <f ca="1">IF(ISBLANK(INDIRECT(ADDRESS(K23*2+2,3))),"",INDIRECT(ADDRESS(K23*2+2,3)))</f>
        <v>Крошилова</v>
      </c>
      <c r="I23" s="100"/>
      <c r="J23" s="100"/>
      <c r="K23" s="37">
        <v>2</v>
      </c>
      <c r="L23" s="40" t="s">
        <v>13</v>
      </c>
      <c r="M23" s="28"/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Ткаченко</v>
      </c>
      <c r="D26" s="100"/>
      <c r="E26" s="101"/>
      <c r="F26" s="38">
        <v>13</v>
      </c>
      <c r="G26" s="39">
        <v>10</v>
      </c>
      <c r="H26" s="102" t="str">
        <f ca="1">IF(ISBLANK(INDIRECT(ADDRESS(K26*2+2,3))),"",INDIRECT(ADDRESS(K26*2+2,3)))</f>
        <v>Крылова</v>
      </c>
      <c r="I26" s="100"/>
      <c r="J26" s="100"/>
      <c r="K26" s="37">
        <v>1</v>
      </c>
      <c r="L26" s="40" t="s">
        <v>13</v>
      </c>
      <c r="M26" s="28"/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Чахова</v>
      </c>
      <c r="D27" s="100"/>
      <c r="E27" s="101"/>
      <c r="F27" s="38">
        <v>13</v>
      </c>
      <c r="G27" s="39">
        <v>8</v>
      </c>
      <c r="H27" s="102" t="str">
        <f ca="1">IF(ISBLANK(INDIRECT(ADDRESS(K27*2+2,3))),"",INDIRECT(ADDRESS(K27*2+2,3)))</f>
        <v>Потапова</v>
      </c>
      <c r="I27" s="100"/>
      <c r="J27" s="100"/>
      <c r="K27" s="37">
        <v>5</v>
      </c>
      <c r="L27" s="40" t="s">
        <v>13</v>
      </c>
      <c r="M27" s="28"/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Крылова</v>
      </c>
      <c r="D30" s="100"/>
      <c r="E30" s="101"/>
      <c r="F30" s="38">
        <v>13</v>
      </c>
      <c r="G30" s="39">
        <v>6</v>
      </c>
      <c r="H30" s="102" t="str">
        <f ca="1">IF(ISBLANK(INDIRECT(ADDRESS(K30*2+2,3))),"",INDIRECT(ADDRESS(K30*2+2,3)))</f>
        <v>Чахова</v>
      </c>
      <c r="I30" s="100"/>
      <c r="J30" s="100"/>
      <c r="K30" s="37">
        <v>4</v>
      </c>
      <c r="L30" s="40" t="s">
        <v>13</v>
      </c>
      <c r="M30" s="28"/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Крошилова</v>
      </c>
      <c r="D31" s="100"/>
      <c r="E31" s="101"/>
      <c r="F31" s="38">
        <v>13</v>
      </c>
      <c r="G31" s="39">
        <v>7</v>
      </c>
      <c r="H31" s="102" t="str">
        <f ca="1">IF(ISBLANK(INDIRECT(ADDRESS(K31*2+2,3))),"",INDIRECT(ADDRESS(K31*2+2,3)))</f>
        <v>Ткаченко</v>
      </c>
      <c r="I31" s="100"/>
      <c r="J31" s="100"/>
      <c r="K31" s="37">
        <v>3</v>
      </c>
      <c r="L31" s="40" t="s">
        <v>13</v>
      </c>
      <c r="M31" s="28"/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Чахова</v>
      </c>
      <c r="D34" s="100"/>
      <c r="E34" s="101"/>
      <c r="F34" s="38">
        <v>9</v>
      </c>
      <c r="G34" s="39">
        <v>13</v>
      </c>
      <c r="H34" s="102" t="str">
        <f ca="1">IF(ISBLANK(INDIRECT(ADDRESS(K34*2+2,3))),"",INDIRECT(ADDRESS(K34*2+2,3)))</f>
        <v>Крошилова</v>
      </c>
      <c r="I34" s="100"/>
      <c r="J34" s="100"/>
      <c r="K34" s="37">
        <v>2</v>
      </c>
      <c r="L34" s="40" t="s">
        <v>13</v>
      </c>
      <c r="M34" s="28"/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Потапова</v>
      </c>
      <c r="D35" s="100"/>
      <c r="E35" s="101"/>
      <c r="F35" s="38">
        <v>5</v>
      </c>
      <c r="G35" s="39">
        <v>13</v>
      </c>
      <c r="H35" s="102" t="str">
        <f ca="1">IF(ISBLANK(INDIRECT(ADDRESS(K35*2+2,3))),"",INDIRECT(ADDRESS(K35*2+2,3)))</f>
        <v>Крылова</v>
      </c>
      <c r="I35" s="100"/>
      <c r="J35" s="100"/>
      <c r="K35" s="37">
        <v>1</v>
      </c>
      <c r="L35" s="40" t="s">
        <v>13</v>
      </c>
      <c r="M35" s="28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B1" sqref="B1:K1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46.5" x14ac:dyDescent="0.25">
      <c r="B1" s="84" t="s">
        <v>33</v>
      </c>
      <c r="C1" s="84"/>
      <c r="D1" s="84"/>
      <c r="E1" s="84"/>
      <c r="F1" s="84"/>
      <c r="G1" s="84"/>
      <c r="H1" s="84"/>
      <c r="I1" s="84"/>
      <c r="J1" s="84"/>
      <c r="K1" s="84"/>
      <c r="L1" s="33" t="s">
        <v>46</v>
      </c>
      <c r="M1" t="s">
        <v>40</v>
      </c>
    </row>
    <row r="2" spans="2:13" ht="15.75" thickBot="1" x14ac:dyDescent="0.3">
      <c r="M2"/>
    </row>
    <row r="3" spans="2:13" ht="15.75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31" t="s">
        <v>3</v>
      </c>
    </row>
    <row r="4" spans="2:13" ht="21" x14ac:dyDescent="0.25">
      <c r="B4" s="88">
        <v>1</v>
      </c>
      <c r="C4" s="110" t="s">
        <v>47</v>
      </c>
      <c r="D4" s="111"/>
      <c r="E4" s="112"/>
      <c r="F4" s="7" t="s">
        <v>5</v>
      </c>
      <c r="G4" s="8" t="str">
        <f ca="1">INDIRECT(ADDRESS(23,6))&amp;":"&amp;INDIRECT(ADDRESS(23,7))</f>
        <v>13:3</v>
      </c>
      <c r="H4" s="8" t="str">
        <f ca="1">INDIRECT(ADDRESS(26,7))&amp;":"&amp;INDIRECT(ADDRESS(26,6))</f>
        <v>13:8</v>
      </c>
      <c r="I4" s="8" t="str">
        <f ca="1">INDIRECT(ADDRESS(30,6))&amp;":"&amp;INDIRECT(ADDRESS(30,7))</f>
        <v>13:8</v>
      </c>
      <c r="J4" s="9" t="str">
        <f ca="1">INDIRECT(ADDRESS(35,7))&amp;":"&amp;INDIRECT(ADDRESS(35,6))</f>
        <v>13:1</v>
      </c>
      <c r="K4" s="99">
        <f ca="1">IF(COUNT(F5:J5)=0,"",COUNTIF(F5:J5,"&gt;0")+0.5*COUNTIF(F5:J5,0))</f>
        <v>4</v>
      </c>
      <c r="L4" s="10"/>
      <c r="M4" s="98">
        <v>1</v>
      </c>
    </row>
    <row r="5" spans="2:13" ht="21" x14ac:dyDescent="0.25">
      <c r="B5" s="76"/>
      <c r="C5" s="113"/>
      <c r="D5" s="114"/>
      <c r="E5" s="115"/>
      <c r="F5" s="11" t="s">
        <v>5</v>
      </c>
      <c r="G5" s="12">
        <f ca="1">IF(LEN(INDIRECT(ADDRESS(ROW()-1, COLUMN())))=1,"",INDIRECT(ADDRESS(23,6))-INDIRECT(ADDRESS(23,7)))</f>
        <v>10</v>
      </c>
      <c r="H5" s="12">
        <f ca="1">IF(LEN(INDIRECT(ADDRESS(ROW()-1, COLUMN())))=1,"",INDIRECT(ADDRESS(26,7))-INDIRECT(ADDRESS(26,6)))</f>
        <v>5</v>
      </c>
      <c r="I5" s="12">
        <f ca="1">IF(LEN(INDIRECT(ADDRESS(ROW()-1, COLUMN())))=1,"",INDIRECT(ADDRESS(30,6))-INDIRECT(ADDRESS(30,7)))</f>
        <v>5</v>
      </c>
      <c r="J5" s="13">
        <f ca="1">IF(LEN(INDIRECT(ADDRESS(ROW()-1, COLUMN())))=1,"",INDIRECT(ADDRESS(35,7))-INDIRECT(ADDRESS(35,6)))</f>
        <v>12</v>
      </c>
      <c r="K5" s="93"/>
      <c r="L5" s="12">
        <f ca="1">IF(COUNT(F5:J5)=0,"",SUM(F5:J5))</f>
        <v>32</v>
      </c>
      <c r="M5" s="97"/>
    </row>
    <row r="6" spans="2:13" ht="21" x14ac:dyDescent="0.25">
      <c r="B6" s="64">
        <v>2</v>
      </c>
      <c r="C6" s="66" t="s">
        <v>48</v>
      </c>
      <c r="D6" s="67"/>
      <c r="E6" s="68"/>
      <c r="F6" s="14" t="str">
        <f ca="1">INDIRECT(ADDRESS(23,7))&amp;":"&amp;INDIRECT(ADDRESS(23,6))</f>
        <v>3:13</v>
      </c>
      <c r="G6" s="15" t="s">
        <v>5</v>
      </c>
      <c r="H6" s="16" t="str">
        <f ca="1">INDIRECT(ADDRESS(31,6))&amp;":"&amp;INDIRECT(ADDRESS(31,7))</f>
        <v>3:12</v>
      </c>
      <c r="I6" s="16" t="str">
        <f ca="1">INDIRECT(ADDRESS(34,7))&amp;":"&amp;INDIRECT(ADDRESS(34,6))</f>
        <v>9:10</v>
      </c>
      <c r="J6" s="17" t="str">
        <f ca="1">INDIRECT(ADDRESS(18,6))&amp;":"&amp;INDIRECT(ADDRESS(18,7))</f>
        <v>13:1</v>
      </c>
      <c r="K6" s="93">
        <f ca="1">IF(COUNT(F7:J7)=0,"",COUNTIF(F7:J7,"&gt;0")+0.5*COUNTIF(F7:J7,0))</f>
        <v>1</v>
      </c>
      <c r="L6" s="12"/>
      <c r="M6" s="94">
        <v>4</v>
      </c>
    </row>
    <row r="7" spans="2:13" ht="21" x14ac:dyDescent="0.25">
      <c r="B7" s="76"/>
      <c r="C7" s="66"/>
      <c r="D7" s="67"/>
      <c r="E7" s="68"/>
      <c r="F7" s="18">
        <f ca="1">IF(LEN(INDIRECT(ADDRESS(ROW()-1, COLUMN())))=1,"",INDIRECT(ADDRESS(23,7))-INDIRECT(ADDRESS(23,6)))</f>
        <v>-10</v>
      </c>
      <c r="G7" s="19" t="s">
        <v>5</v>
      </c>
      <c r="H7" s="12">
        <f ca="1">IF(LEN(INDIRECT(ADDRESS(ROW()-1, COLUMN())))=1,"",INDIRECT(ADDRESS(31,6))-INDIRECT(ADDRESS(31,7)))</f>
        <v>-9</v>
      </c>
      <c r="I7" s="12">
        <f ca="1">IF(LEN(INDIRECT(ADDRESS(ROW()-1, COLUMN())))=1,"",INDIRECT(ADDRESS(34,7))-INDIRECT(ADDRESS(34,6)))</f>
        <v>-1</v>
      </c>
      <c r="J7" s="13">
        <f ca="1">IF(LEN(INDIRECT(ADDRESS(ROW()-1, COLUMN())))=1,"",INDIRECT(ADDRESS(18,6))-INDIRECT(ADDRESS(18,7)))</f>
        <v>12</v>
      </c>
      <c r="K7" s="93"/>
      <c r="L7" s="12">
        <f ca="1">IF(COUNT(F7:J7)=0,"",SUM(F7:J7))</f>
        <v>-8</v>
      </c>
      <c r="M7" s="94"/>
    </row>
    <row r="8" spans="2:13" ht="21" x14ac:dyDescent="0.25">
      <c r="B8" s="64">
        <v>3</v>
      </c>
      <c r="C8" s="66" t="s">
        <v>49</v>
      </c>
      <c r="D8" s="67"/>
      <c r="E8" s="68"/>
      <c r="F8" s="14" t="str">
        <f ca="1">INDIRECT(ADDRESS(26,6))&amp;":"&amp;INDIRECT(ADDRESS(26,7))</f>
        <v>8:13</v>
      </c>
      <c r="G8" s="16" t="str">
        <f ca="1">INDIRECT(ADDRESS(31,7))&amp;":"&amp;INDIRECT(ADDRESS(31,6))</f>
        <v>12:3</v>
      </c>
      <c r="H8" s="15" t="s">
        <v>5</v>
      </c>
      <c r="I8" s="16" t="str">
        <f ca="1">INDIRECT(ADDRESS(19,6))&amp;":"&amp;INDIRECT(ADDRESS(19,7))</f>
        <v>8:9</v>
      </c>
      <c r="J8" s="17" t="str">
        <f ca="1">INDIRECT(ADDRESS(22,7))&amp;":"&amp;INDIRECT(ADDRESS(22,6))</f>
        <v>13:3</v>
      </c>
      <c r="K8" s="93">
        <f ca="1">IF(COUNT(F9:J9)=0,"",COUNTIF(F9:J9,"&gt;0")+0.5*COUNTIF(F9:J9,0))</f>
        <v>2</v>
      </c>
      <c r="L8" s="12"/>
      <c r="M8" s="94">
        <v>3</v>
      </c>
    </row>
    <row r="9" spans="2:13" ht="21" x14ac:dyDescent="0.25">
      <c r="B9" s="76"/>
      <c r="C9" s="66"/>
      <c r="D9" s="67"/>
      <c r="E9" s="68"/>
      <c r="F9" s="18">
        <f ca="1">IF(LEN(INDIRECT(ADDRESS(ROW()-1, COLUMN())))=1,"",INDIRECT(ADDRESS(26,6))-INDIRECT(ADDRESS(26,7)))</f>
        <v>-5</v>
      </c>
      <c r="G9" s="12">
        <f ca="1">IF(LEN(INDIRECT(ADDRESS(ROW()-1, COLUMN())))=1,"",INDIRECT(ADDRESS(31,7))-INDIRECT(ADDRESS(31,6)))</f>
        <v>9</v>
      </c>
      <c r="H9" s="19" t="s">
        <v>5</v>
      </c>
      <c r="I9" s="12">
        <f ca="1">IF(LEN(INDIRECT(ADDRESS(ROW()-1, COLUMN())))=1,"",INDIRECT(ADDRESS(19,6))-INDIRECT(ADDRESS(19,7)))</f>
        <v>-1</v>
      </c>
      <c r="J9" s="13">
        <f ca="1">IF(LEN(INDIRECT(ADDRESS(ROW()-1, COLUMN())))=1,"",INDIRECT(ADDRESS(22,7))-INDIRECT(ADDRESS(22,6)))</f>
        <v>10</v>
      </c>
      <c r="K9" s="93"/>
      <c r="L9" s="12">
        <f ca="1">IF(COUNT(F9:J9)=0,"",SUM(F9:J9))</f>
        <v>13</v>
      </c>
      <c r="M9" s="94"/>
    </row>
    <row r="10" spans="2:13" ht="21" x14ac:dyDescent="0.25">
      <c r="B10" s="64">
        <v>4</v>
      </c>
      <c r="C10" s="78" t="s">
        <v>50</v>
      </c>
      <c r="D10" s="79"/>
      <c r="E10" s="80"/>
      <c r="F10" s="14" t="str">
        <f ca="1">INDIRECT(ADDRESS(30,7))&amp;":"&amp;INDIRECT(ADDRESS(30,6))</f>
        <v>8:13</v>
      </c>
      <c r="G10" s="16" t="str">
        <f ca="1">INDIRECT(ADDRESS(34,6))&amp;":"&amp;INDIRECT(ADDRESS(34,7))</f>
        <v>10:9</v>
      </c>
      <c r="H10" s="16" t="str">
        <f ca="1">INDIRECT(ADDRESS(19,7))&amp;":"&amp;INDIRECT(ADDRESS(19,6))</f>
        <v>9:8</v>
      </c>
      <c r="I10" s="15" t="s">
        <v>5</v>
      </c>
      <c r="J10" s="17" t="str">
        <f ca="1">INDIRECT(ADDRESS(27,6))&amp;":"&amp;INDIRECT(ADDRESS(27,7))</f>
        <v>13:3</v>
      </c>
      <c r="K10" s="93">
        <f ca="1">IF(COUNT(F11:J11)=0,"",COUNTIF(F11:J11,"&gt;0")+0.5*COUNTIF(F11:J11,0))</f>
        <v>3</v>
      </c>
      <c r="L10" s="12"/>
      <c r="M10" s="97">
        <v>2</v>
      </c>
    </row>
    <row r="11" spans="2:13" ht="21" x14ac:dyDescent="0.25">
      <c r="B11" s="76"/>
      <c r="C11" s="78"/>
      <c r="D11" s="79"/>
      <c r="E11" s="80"/>
      <c r="F11" s="18">
        <f ca="1">IF(LEN(INDIRECT(ADDRESS(ROW()-1, COLUMN())))=1,"",INDIRECT(ADDRESS(30,7))-INDIRECT(ADDRESS(30,6)))</f>
        <v>-5</v>
      </c>
      <c r="G11" s="12">
        <f ca="1">IF(LEN(INDIRECT(ADDRESS(ROW()-1, COLUMN())))=1,"",INDIRECT(ADDRESS(34,6))-INDIRECT(ADDRESS(34,7)))</f>
        <v>1</v>
      </c>
      <c r="H11" s="12">
        <f ca="1">IF(LEN(INDIRECT(ADDRESS(ROW()-1, COLUMN())))=1,"",INDIRECT(ADDRESS(19,7))-INDIRECT(ADDRESS(19,6)))</f>
        <v>1</v>
      </c>
      <c r="I11" s="19" t="s">
        <v>5</v>
      </c>
      <c r="J11" s="13">
        <f ca="1">IF(LEN(INDIRECT(ADDRESS(ROW()-1, COLUMN())))=1,"",INDIRECT(ADDRESS(27,6))-INDIRECT(ADDRESS(27,7)))</f>
        <v>10</v>
      </c>
      <c r="K11" s="93"/>
      <c r="L11" s="12">
        <f ca="1">IF(COUNT(F11:J11)=0,"",SUM(F11:J11))</f>
        <v>7</v>
      </c>
      <c r="M11" s="97"/>
    </row>
    <row r="12" spans="2:13" ht="21" x14ac:dyDescent="0.25">
      <c r="B12" s="64">
        <v>5</v>
      </c>
      <c r="C12" s="66" t="s">
        <v>51</v>
      </c>
      <c r="D12" s="67"/>
      <c r="E12" s="68"/>
      <c r="F12" s="14" t="str">
        <f ca="1">INDIRECT(ADDRESS(35,6))&amp;":"&amp;INDIRECT(ADDRESS(35,7))</f>
        <v>1:13</v>
      </c>
      <c r="G12" s="16" t="str">
        <f ca="1">INDIRECT(ADDRESS(18,7))&amp;":"&amp;INDIRECT(ADDRESS(18,6))</f>
        <v>1:13</v>
      </c>
      <c r="H12" s="16" t="str">
        <f ca="1">INDIRECT(ADDRESS(22,6))&amp;":"&amp;INDIRECT(ADDRESS(22,7))</f>
        <v>3:13</v>
      </c>
      <c r="I12" s="16" t="str">
        <f ca="1">INDIRECT(ADDRESS(27,7))&amp;":"&amp;INDIRECT(ADDRESS(27,6))</f>
        <v>3:13</v>
      </c>
      <c r="J12" s="20" t="s">
        <v>5</v>
      </c>
      <c r="K12" s="93">
        <f ca="1">IF(COUNT(F13:J13)=0,"",COUNTIF(F13:J13,"&gt;0")+0.5*COUNTIF(F13:J13,0))</f>
        <v>0</v>
      </c>
      <c r="L12" s="12"/>
      <c r="M12" s="94">
        <v>5</v>
      </c>
    </row>
    <row r="13" spans="2:13" ht="21.75" thickBot="1" x14ac:dyDescent="0.3">
      <c r="B13" s="65"/>
      <c r="C13" s="69"/>
      <c r="D13" s="70"/>
      <c r="E13" s="71"/>
      <c r="F13" s="21">
        <f ca="1">IF(LEN(INDIRECT(ADDRESS(ROW()-1, COLUMN())))=1,"",INDIRECT(ADDRESS(35,6))-INDIRECT(ADDRESS(35,7)))</f>
        <v>-12</v>
      </c>
      <c r="G13" s="22">
        <f ca="1">IF(LEN(INDIRECT(ADDRESS(ROW()-1, COLUMN())))=1,"",INDIRECT(ADDRESS(18,7))-INDIRECT(ADDRESS(18,6)))</f>
        <v>-12</v>
      </c>
      <c r="H13" s="22">
        <f ca="1">IF(LEN(INDIRECT(ADDRESS(ROW()-1, COLUMN())))=1,"",INDIRECT(ADDRESS(22,6))-INDIRECT(ADDRESS(22,7)))</f>
        <v>-10</v>
      </c>
      <c r="I13" s="22">
        <f ca="1">IF(LEN(INDIRECT(ADDRESS(ROW()-1, COLUMN())))=1,"",INDIRECT(ADDRESS(27,7))-INDIRECT(ADDRESS(27,6)))</f>
        <v>-10</v>
      </c>
      <c r="J13" s="23" t="s">
        <v>5</v>
      </c>
      <c r="K13" s="95"/>
      <c r="L13" s="22">
        <f ca="1">IF(COUNT(F13:J13)=0,"",SUM(F13:J13))</f>
        <v>-44</v>
      </c>
      <c r="M13" s="96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36" customFormat="1" ht="21.75" thickBot="1" x14ac:dyDescent="0.4">
      <c r="A17" s="35"/>
      <c r="B17" s="63" t="s">
        <v>12</v>
      </c>
      <c r="C17" s="63"/>
      <c r="D17" s="63"/>
      <c r="E17" s="63"/>
      <c r="F17" s="63"/>
      <c r="G17" s="63"/>
      <c r="H17" s="63"/>
      <c r="I17" s="63"/>
      <c r="J17" s="63"/>
      <c r="K17" s="63"/>
      <c r="M17" s="41"/>
    </row>
    <row r="18" spans="1:13" s="36" customFormat="1" ht="21.75" thickBot="1" x14ac:dyDescent="0.4">
      <c r="A18" s="35"/>
      <c r="B18" s="37">
        <v>2</v>
      </c>
      <c r="C18" s="100" t="str">
        <f ca="1">IF(ISBLANK(INDIRECT(ADDRESS(B18*2+2,3))),"",INDIRECT(ADDRESS(B18*2+2,3)))</f>
        <v>Чекмарева</v>
      </c>
      <c r="D18" s="100"/>
      <c r="E18" s="101"/>
      <c r="F18" s="38">
        <v>13</v>
      </c>
      <c r="G18" s="39">
        <v>1</v>
      </c>
      <c r="H18" s="102" t="str">
        <f ca="1">IF(ISBLANK(INDIRECT(ADDRESS(K18*2+2,3))),"",INDIRECT(ADDRESS(K18*2+2,3)))</f>
        <v>Кудряшова</v>
      </c>
      <c r="I18" s="100"/>
      <c r="J18" s="100"/>
      <c r="K18" s="37">
        <v>5</v>
      </c>
      <c r="L18" s="40" t="s">
        <v>13</v>
      </c>
      <c r="M18" s="28"/>
    </row>
    <row r="19" spans="1:13" s="36" customFormat="1" ht="21.75" thickBot="1" x14ac:dyDescent="0.4">
      <c r="A19" s="35"/>
      <c r="B19" s="37">
        <v>3</v>
      </c>
      <c r="C19" s="100" t="str">
        <f ca="1">IF(ISBLANK(INDIRECT(ADDRESS(B19*2+2,3))),"",INDIRECT(ADDRESS(B19*2+2,3)))</f>
        <v>Кирдеева</v>
      </c>
      <c r="D19" s="100"/>
      <c r="E19" s="101"/>
      <c r="F19" s="38">
        <v>8</v>
      </c>
      <c r="G19" s="39">
        <v>9</v>
      </c>
      <c r="H19" s="102" t="str">
        <f ca="1">IF(ISBLANK(INDIRECT(ADDRESS(K19*2+2,3))),"",INDIRECT(ADDRESS(K19*2+2,3)))</f>
        <v>Кондратова</v>
      </c>
      <c r="I19" s="100"/>
      <c r="J19" s="100"/>
      <c r="K19" s="37">
        <v>4</v>
      </c>
      <c r="L19" s="40" t="s">
        <v>13</v>
      </c>
      <c r="M19" s="28"/>
    </row>
    <row r="20" spans="1:13" s="36" customFormat="1" ht="21" x14ac:dyDescent="0.35">
      <c r="A20" s="35"/>
      <c r="M20" s="29"/>
    </row>
    <row r="21" spans="1:13" s="36" customFormat="1" ht="21.75" thickBot="1" x14ac:dyDescent="0.4">
      <c r="A21" s="35"/>
      <c r="B21" s="63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M21" s="29"/>
    </row>
    <row r="22" spans="1:13" s="36" customFormat="1" ht="21.75" thickBot="1" x14ac:dyDescent="0.4">
      <c r="A22" s="35"/>
      <c r="B22" s="37">
        <v>5</v>
      </c>
      <c r="C22" s="100" t="str">
        <f ca="1">IF(ISBLANK(INDIRECT(ADDRESS(B22*2+2,3))),"",INDIRECT(ADDRESS(B22*2+2,3)))</f>
        <v>Кудряшова</v>
      </c>
      <c r="D22" s="100"/>
      <c r="E22" s="101"/>
      <c r="F22" s="38">
        <v>3</v>
      </c>
      <c r="G22" s="39">
        <v>13</v>
      </c>
      <c r="H22" s="102" t="str">
        <f ca="1">IF(ISBLANK(INDIRECT(ADDRESS(K22*2+2,3))),"",INDIRECT(ADDRESS(K22*2+2,3)))</f>
        <v>Кирдеева</v>
      </c>
      <c r="I22" s="100"/>
      <c r="J22" s="100"/>
      <c r="K22" s="37">
        <v>3</v>
      </c>
      <c r="L22" s="40" t="s">
        <v>13</v>
      </c>
      <c r="M22" s="28"/>
    </row>
    <row r="23" spans="1:13" s="36" customFormat="1" ht="21.75" thickBot="1" x14ac:dyDescent="0.4">
      <c r="A23" s="35"/>
      <c r="B23" s="37">
        <v>1</v>
      </c>
      <c r="C23" s="100" t="str">
        <f ca="1">IF(ISBLANK(INDIRECT(ADDRESS(B23*2+2,3))),"",INDIRECT(ADDRESS(B23*2+2,3)))</f>
        <v>Пименова</v>
      </c>
      <c r="D23" s="100"/>
      <c r="E23" s="101"/>
      <c r="F23" s="38">
        <v>13</v>
      </c>
      <c r="G23" s="39">
        <v>3</v>
      </c>
      <c r="H23" s="102" t="str">
        <f ca="1">IF(ISBLANK(INDIRECT(ADDRESS(K23*2+2,3))),"",INDIRECT(ADDRESS(K23*2+2,3)))</f>
        <v>Чекмарева</v>
      </c>
      <c r="I23" s="100"/>
      <c r="J23" s="100"/>
      <c r="K23" s="37">
        <v>2</v>
      </c>
      <c r="L23" s="40" t="s">
        <v>13</v>
      </c>
      <c r="M23" s="28"/>
    </row>
    <row r="24" spans="1:13" s="36" customFormat="1" ht="21" x14ac:dyDescent="0.35">
      <c r="A24" s="35"/>
      <c r="M24" s="29"/>
    </row>
    <row r="25" spans="1:13" s="36" customFormat="1" ht="21.75" thickBot="1" x14ac:dyDescent="0.4">
      <c r="A25" s="35"/>
      <c r="B25" s="63" t="s">
        <v>15</v>
      </c>
      <c r="C25" s="63"/>
      <c r="D25" s="63"/>
      <c r="E25" s="63"/>
      <c r="F25" s="63"/>
      <c r="G25" s="63"/>
      <c r="H25" s="63"/>
      <c r="I25" s="63"/>
      <c r="J25" s="63"/>
      <c r="K25" s="63"/>
      <c r="M25" s="29"/>
    </row>
    <row r="26" spans="1:13" s="36" customFormat="1" ht="21.75" thickBot="1" x14ac:dyDescent="0.4">
      <c r="A26" s="35"/>
      <c r="B26" s="37">
        <v>3</v>
      </c>
      <c r="C26" s="100" t="str">
        <f ca="1">IF(ISBLANK(INDIRECT(ADDRESS(B26*2+2,3))),"",INDIRECT(ADDRESS(B26*2+2,3)))</f>
        <v>Кирдеева</v>
      </c>
      <c r="D26" s="100"/>
      <c r="E26" s="101"/>
      <c r="F26" s="38">
        <v>8</v>
      </c>
      <c r="G26" s="39">
        <v>13</v>
      </c>
      <c r="H26" s="102" t="str">
        <f ca="1">IF(ISBLANK(INDIRECT(ADDRESS(K26*2+2,3))),"",INDIRECT(ADDRESS(K26*2+2,3)))</f>
        <v>Пименова</v>
      </c>
      <c r="I26" s="100"/>
      <c r="J26" s="100"/>
      <c r="K26" s="37">
        <v>1</v>
      </c>
      <c r="L26" s="40" t="s">
        <v>13</v>
      </c>
      <c r="M26" s="28"/>
    </row>
    <row r="27" spans="1:13" s="36" customFormat="1" ht="21.75" thickBot="1" x14ac:dyDescent="0.4">
      <c r="A27" s="35"/>
      <c r="B27" s="37">
        <v>4</v>
      </c>
      <c r="C27" s="100" t="str">
        <f ca="1">IF(ISBLANK(INDIRECT(ADDRESS(B27*2+2,3))),"",INDIRECT(ADDRESS(B27*2+2,3)))</f>
        <v>Кондратова</v>
      </c>
      <c r="D27" s="100"/>
      <c r="E27" s="101"/>
      <c r="F27" s="38">
        <v>13</v>
      </c>
      <c r="G27" s="39">
        <v>3</v>
      </c>
      <c r="H27" s="102" t="str">
        <f ca="1">IF(ISBLANK(INDIRECT(ADDRESS(K27*2+2,3))),"",INDIRECT(ADDRESS(K27*2+2,3)))</f>
        <v>Кудряшова</v>
      </c>
      <c r="I27" s="100"/>
      <c r="J27" s="100"/>
      <c r="K27" s="37">
        <v>5</v>
      </c>
      <c r="L27" s="40" t="s">
        <v>13</v>
      </c>
      <c r="M27" s="28"/>
    </row>
    <row r="28" spans="1:13" s="36" customFormat="1" ht="21" x14ac:dyDescent="0.35">
      <c r="A28" s="35"/>
      <c r="M28" s="29"/>
    </row>
    <row r="29" spans="1:13" s="36" customFormat="1" ht="21.75" thickBot="1" x14ac:dyDescent="0.4">
      <c r="A29" s="35"/>
      <c r="B29" s="63" t="s">
        <v>16</v>
      </c>
      <c r="C29" s="63"/>
      <c r="D29" s="63"/>
      <c r="E29" s="63"/>
      <c r="F29" s="63"/>
      <c r="G29" s="63"/>
      <c r="H29" s="63"/>
      <c r="I29" s="63"/>
      <c r="J29" s="63"/>
      <c r="K29" s="63"/>
      <c r="M29" s="29"/>
    </row>
    <row r="30" spans="1:13" s="36" customFormat="1" ht="21.75" thickBot="1" x14ac:dyDescent="0.4">
      <c r="A30" s="35"/>
      <c r="B30" s="37">
        <v>1</v>
      </c>
      <c r="C30" s="100" t="str">
        <f ca="1">IF(ISBLANK(INDIRECT(ADDRESS(B30*2+2,3))),"",INDIRECT(ADDRESS(B30*2+2,3)))</f>
        <v>Пименова</v>
      </c>
      <c r="D30" s="100"/>
      <c r="E30" s="101"/>
      <c r="F30" s="38">
        <v>13</v>
      </c>
      <c r="G30" s="39">
        <v>8</v>
      </c>
      <c r="H30" s="102" t="str">
        <f ca="1">IF(ISBLANK(INDIRECT(ADDRESS(K30*2+2,3))),"",INDIRECT(ADDRESS(K30*2+2,3)))</f>
        <v>Кондратова</v>
      </c>
      <c r="I30" s="100"/>
      <c r="J30" s="100"/>
      <c r="K30" s="37">
        <v>4</v>
      </c>
      <c r="L30" s="40" t="s">
        <v>13</v>
      </c>
      <c r="M30" s="28"/>
    </row>
    <row r="31" spans="1:13" s="36" customFormat="1" ht="21.75" thickBot="1" x14ac:dyDescent="0.4">
      <c r="A31" s="35"/>
      <c r="B31" s="37">
        <v>2</v>
      </c>
      <c r="C31" s="100" t="str">
        <f ca="1">IF(ISBLANK(INDIRECT(ADDRESS(B31*2+2,3))),"",INDIRECT(ADDRESS(B31*2+2,3)))</f>
        <v>Чекмарева</v>
      </c>
      <c r="D31" s="100"/>
      <c r="E31" s="101"/>
      <c r="F31" s="38">
        <v>3</v>
      </c>
      <c r="G31" s="39">
        <v>12</v>
      </c>
      <c r="H31" s="102" t="str">
        <f ca="1">IF(ISBLANK(INDIRECT(ADDRESS(K31*2+2,3))),"",INDIRECT(ADDRESS(K31*2+2,3)))</f>
        <v>Кирдеева</v>
      </c>
      <c r="I31" s="100"/>
      <c r="J31" s="100"/>
      <c r="K31" s="37">
        <v>3</v>
      </c>
      <c r="L31" s="40" t="s">
        <v>13</v>
      </c>
      <c r="M31" s="28"/>
    </row>
    <row r="32" spans="1:13" s="36" customFormat="1" ht="21" x14ac:dyDescent="0.35">
      <c r="A32" s="35"/>
      <c r="M32" s="29"/>
    </row>
    <row r="33" spans="1:13" s="36" customFormat="1" ht="21.75" thickBot="1" x14ac:dyDescent="0.4">
      <c r="A33" s="35"/>
      <c r="B33" s="63" t="s">
        <v>17</v>
      </c>
      <c r="C33" s="63"/>
      <c r="D33" s="63"/>
      <c r="E33" s="63"/>
      <c r="F33" s="63"/>
      <c r="G33" s="63"/>
      <c r="H33" s="63"/>
      <c r="I33" s="63"/>
      <c r="J33" s="63"/>
      <c r="K33" s="63"/>
      <c r="M33" s="29"/>
    </row>
    <row r="34" spans="1:13" s="36" customFormat="1" ht="21.75" thickBot="1" x14ac:dyDescent="0.4">
      <c r="A34" s="35"/>
      <c r="B34" s="37">
        <v>4</v>
      </c>
      <c r="C34" s="100" t="str">
        <f ca="1">IF(ISBLANK(INDIRECT(ADDRESS(B34*2+2,3))),"",INDIRECT(ADDRESS(B34*2+2,3)))</f>
        <v>Кондратова</v>
      </c>
      <c r="D34" s="100"/>
      <c r="E34" s="101"/>
      <c r="F34" s="38">
        <v>10</v>
      </c>
      <c r="G34" s="39">
        <v>9</v>
      </c>
      <c r="H34" s="102" t="str">
        <f ca="1">IF(ISBLANK(INDIRECT(ADDRESS(K34*2+2,3))),"",INDIRECT(ADDRESS(K34*2+2,3)))</f>
        <v>Чекмарева</v>
      </c>
      <c r="I34" s="100"/>
      <c r="J34" s="100"/>
      <c r="K34" s="37">
        <v>2</v>
      </c>
      <c r="L34" s="40" t="s">
        <v>13</v>
      </c>
      <c r="M34" s="28"/>
    </row>
    <row r="35" spans="1:13" s="36" customFormat="1" ht="21.75" thickBot="1" x14ac:dyDescent="0.4">
      <c r="A35" s="35"/>
      <c r="B35" s="37">
        <v>5</v>
      </c>
      <c r="C35" s="100" t="str">
        <f ca="1">IF(ISBLANK(INDIRECT(ADDRESS(B35*2+2,3))),"",INDIRECT(ADDRESS(B35*2+2,3)))</f>
        <v>Кудряшова</v>
      </c>
      <c r="D35" s="100"/>
      <c r="E35" s="101"/>
      <c r="F35" s="38">
        <v>1</v>
      </c>
      <c r="G35" s="39">
        <v>13</v>
      </c>
      <c r="H35" s="102" t="str">
        <f ca="1">IF(ISBLANK(INDIRECT(ADDRESS(K35*2+2,3))),"",INDIRECT(ADDRESS(K35*2+2,3)))</f>
        <v>Пименова</v>
      </c>
      <c r="I35" s="100"/>
      <c r="J35" s="100"/>
      <c r="K35" s="37">
        <v>1</v>
      </c>
      <c r="L35" s="40" t="s">
        <v>13</v>
      </c>
      <c r="M35" s="28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B1" sqref="B1:N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5" ht="59.25" customHeight="1" x14ac:dyDescent="0.25">
      <c r="B1" s="84" t="s">
        <v>18</v>
      </c>
      <c r="C1" s="84"/>
      <c r="D1" s="84"/>
      <c r="E1" s="84"/>
      <c r="F1" s="84"/>
      <c r="G1" s="84"/>
      <c r="H1" s="84"/>
      <c r="I1" s="84"/>
      <c r="J1" s="84"/>
      <c r="K1" s="84"/>
      <c r="L1" t="s">
        <v>54</v>
      </c>
      <c r="M1" t="s">
        <v>40</v>
      </c>
      <c r="N1" s="30">
        <v>45304</v>
      </c>
    </row>
    <row r="2" spans="2:15" ht="15.75" thickBot="1" x14ac:dyDescent="0.3"/>
    <row r="3" spans="2:15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31">
        <v>7</v>
      </c>
      <c r="M3" s="5" t="s">
        <v>1</v>
      </c>
      <c r="N3" s="3" t="s">
        <v>2</v>
      </c>
      <c r="O3" s="6" t="s">
        <v>3</v>
      </c>
    </row>
    <row r="4" spans="2:15" ht="24" customHeight="1" x14ac:dyDescent="0.25">
      <c r="B4" s="88">
        <v>1</v>
      </c>
      <c r="C4" s="89" t="s">
        <v>55</v>
      </c>
      <c r="D4" s="90"/>
      <c r="E4" s="91"/>
      <c r="F4" s="7"/>
      <c r="G4" s="8" t="str">
        <f ca="1">INDIRECT(ADDRESS(29,6))&amp;":"&amp;INDIRECT(ADDRESS(29,7))</f>
        <v>9:13</v>
      </c>
      <c r="H4" s="8" t="str">
        <f ca="1">INDIRECT(ADDRESS(32,7))&amp;":"&amp;INDIRECT(ADDRESS(32,6))</f>
        <v>13:3</v>
      </c>
      <c r="I4" s="8" t="str">
        <f ca="1">INDIRECT(ADDRESS(38,6))&amp;":"&amp;INDIRECT(ADDRESS(38,7))</f>
        <v>13:8</v>
      </c>
      <c r="J4" s="8" t="str">
        <f ca="1">INDIRECT(ADDRESS(43,7))&amp;":"&amp;INDIRECT(ADDRESS(43,6))</f>
        <v>10:13</v>
      </c>
      <c r="K4" s="42" t="str">
        <f ca="1">INDIRECT(ADDRESS(47,6))&amp;":"&amp;INDIRECT(ADDRESS(47,7))</f>
        <v>13:12</v>
      </c>
      <c r="L4" s="9" t="str">
        <f ca="1">INDIRECT(ADDRESS(54,7))&amp;":"&amp;INDIRECT(ADDRESS(54,6))</f>
        <v>13:8</v>
      </c>
      <c r="M4" s="122">
        <f ca="1">IF(COUNT(F5:L5)=0,"",COUNTIF(F5:L5,"&gt;0")+0.5*COUNTIF(F5:L5,0))</f>
        <v>4</v>
      </c>
      <c r="N4" s="10"/>
      <c r="O4" s="121">
        <v>2</v>
      </c>
    </row>
    <row r="5" spans="2:15" ht="24" customHeight="1" x14ac:dyDescent="0.25">
      <c r="B5" s="76"/>
      <c r="C5" s="78"/>
      <c r="D5" s="79"/>
      <c r="E5" s="80"/>
      <c r="F5" s="11"/>
      <c r="G5" s="12">
        <f ca="1">IF(LEN(INDIRECT(ADDRESS(ROW()-1, COLUMN())))=1,"",INDIRECT(ADDRESS(29,6))-INDIRECT(ADDRESS(29,7)))</f>
        <v>-4</v>
      </c>
      <c r="H5" s="12">
        <f ca="1">IF(LEN(INDIRECT(ADDRESS(ROW()-1, COLUMN())))=1,"",INDIRECT(ADDRESS(32,7))-INDIRECT(ADDRESS(32,6)))</f>
        <v>10</v>
      </c>
      <c r="I5" s="12">
        <f ca="1">IF(LEN(INDIRECT(ADDRESS(ROW()-1, COLUMN())))=1,"",INDIRECT(ADDRESS(38,6))-INDIRECT(ADDRESS(38,7)))</f>
        <v>5</v>
      </c>
      <c r="J5" s="12">
        <f ca="1">IF(LEN(INDIRECT(ADDRESS(ROW()-1, COLUMN())))=1,"",INDIRECT(ADDRESS(43,7))-INDIRECT(ADDRESS(43,6)))</f>
        <v>-3</v>
      </c>
      <c r="K5" s="43">
        <f ca="1">IF(LEN(INDIRECT(ADDRESS(ROW()-1, COLUMN())))=1,"",INDIRECT(ADDRESS(47,6))-INDIRECT(ADDRESS(47,7)))</f>
        <v>1</v>
      </c>
      <c r="L5" s="13">
        <f ca="1">IF(LEN(INDIRECT(ADDRESS(ROW()-1, COLUMN())))=1,"",INDIRECT(ADDRESS(54,7))-INDIRECT(ADDRESS(54,6)))</f>
        <v>5</v>
      </c>
      <c r="M5" s="93"/>
      <c r="N5" s="12">
        <f ca="1">IF(COUNT(F5:L5)=0,"",SUM(F5:L5))</f>
        <v>14</v>
      </c>
      <c r="O5" s="77"/>
    </row>
    <row r="6" spans="2:15" ht="24" customHeight="1" x14ac:dyDescent="0.25">
      <c r="B6" s="64">
        <v>2</v>
      </c>
      <c r="C6" s="78" t="s">
        <v>56</v>
      </c>
      <c r="D6" s="79"/>
      <c r="E6" s="80"/>
      <c r="F6" s="14" t="str">
        <f ca="1">INDIRECT(ADDRESS(29,7))&amp;":"&amp;INDIRECT(ADDRESS(29,6))</f>
        <v>13:9</v>
      </c>
      <c r="G6" s="15"/>
      <c r="H6" s="16" t="str">
        <f ca="1">INDIRECT(ADDRESS(39,6))&amp;":"&amp;INDIRECT(ADDRESS(39,7))</f>
        <v>13:7</v>
      </c>
      <c r="I6" s="16" t="str">
        <f ca="1">INDIRECT(ADDRESS(42,7))&amp;":"&amp;INDIRECT(ADDRESS(42,6))</f>
        <v>13:1</v>
      </c>
      <c r="J6" s="16" t="str">
        <f ca="1">INDIRECT(ADDRESS(48,6))&amp;":"&amp;INDIRECT(ADDRESS(48,7))</f>
        <v>13:10</v>
      </c>
      <c r="K6" s="44" t="str">
        <f ca="1">INDIRECT(ADDRESS(53,7))&amp;":"&amp;INDIRECT(ADDRESS(53,6))</f>
        <v>13:8</v>
      </c>
      <c r="L6" s="17" t="str">
        <f ca="1">INDIRECT(ADDRESS(22,6))&amp;":"&amp;INDIRECT(ADDRESS(22,7))</f>
        <v>13:5</v>
      </c>
      <c r="M6" s="93">
        <f ca="1">IF(COUNT(F7:L7)=0,"",COUNTIF(F7:L7,"&gt;0")+0.5*COUNTIF(F7:L7,0))</f>
        <v>6</v>
      </c>
      <c r="N6" s="12"/>
      <c r="O6" s="74">
        <v>1</v>
      </c>
    </row>
    <row r="7" spans="2:15" ht="24" customHeight="1" x14ac:dyDescent="0.25">
      <c r="B7" s="76"/>
      <c r="C7" s="78"/>
      <c r="D7" s="79"/>
      <c r="E7" s="80"/>
      <c r="F7" s="18">
        <f ca="1">IF(LEN(INDIRECT(ADDRESS(ROW()-1, COLUMN())))=1,"",INDIRECT(ADDRESS(29,7))-INDIRECT(ADDRESS(29,6)))</f>
        <v>4</v>
      </c>
      <c r="G7" s="19"/>
      <c r="H7" s="12">
        <f ca="1">IF(LEN(INDIRECT(ADDRESS(ROW()-1, COLUMN())))=1,"",INDIRECT(ADDRESS(39,6))-INDIRECT(ADDRESS(39,7)))</f>
        <v>6</v>
      </c>
      <c r="I7" s="12">
        <f ca="1">IF(LEN(INDIRECT(ADDRESS(ROW()-1, COLUMN())))=1,"",INDIRECT(ADDRESS(42,7))-INDIRECT(ADDRESS(42,6)))</f>
        <v>12</v>
      </c>
      <c r="J7" s="12">
        <f ca="1">IF(LEN(INDIRECT(ADDRESS(ROW()-1, COLUMN())))=1,"",INDIRECT(ADDRESS(48,6))-INDIRECT(ADDRESS(48,7)))</f>
        <v>3</v>
      </c>
      <c r="K7" s="43">
        <f ca="1">IF(LEN(INDIRECT(ADDRESS(ROW()-1, COLUMN())))=1,"",INDIRECT(ADDRESS(53,7))-INDIRECT(ADDRESS(53,6)))</f>
        <v>5</v>
      </c>
      <c r="L7" s="13">
        <f ca="1">IF(LEN(INDIRECT(ADDRESS(ROW()-1, COLUMN())))=1,"",INDIRECT(ADDRESS(22,6))-INDIRECT(ADDRESS(22,7)))</f>
        <v>8</v>
      </c>
      <c r="M7" s="93"/>
      <c r="N7" s="12">
        <f ca="1">IF(COUNT(F7:L7)=0,"",SUM(F7:L7))</f>
        <v>38</v>
      </c>
      <c r="O7" s="77"/>
    </row>
    <row r="8" spans="2:15" ht="24" customHeight="1" x14ac:dyDescent="0.25">
      <c r="B8" s="64">
        <v>3</v>
      </c>
      <c r="C8" s="66" t="s">
        <v>57</v>
      </c>
      <c r="D8" s="67"/>
      <c r="E8" s="68"/>
      <c r="F8" s="14" t="str">
        <f ca="1">INDIRECT(ADDRESS(32,6))&amp;":"&amp;INDIRECT(ADDRESS(32,7))</f>
        <v>3:13</v>
      </c>
      <c r="G8" s="16" t="str">
        <f ca="1">INDIRECT(ADDRESS(39,7))&amp;":"&amp;INDIRECT(ADDRESS(39,6))</f>
        <v>7:13</v>
      </c>
      <c r="H8" s="15"/>
      <c r="I8" s="16" t="str">
        <f ca="1">INDIRECT(ADDRESS(49,6))&amp;":"&amp;INDIRECT(ADDRESS(49,7))</f>
        <v>5:13</v>
      </c>
      <c r="J8" s="16" t="str">
        <f ca="1">INDIRECT(ADDRESS(52,7))&amp;":"&amp;INDIRECT(ADDRESS(52,6))</f>
        <v>9:13</v>
      </c>
      <c r="K8" s="44" t="str">
        <f ca="1">INDIRECT(ADDRESS(23,6))&amp;":"&amp;INDIRECT(ADDRESS(23,7))</f>
        <v>7:13</v>
      </c>
      <c r="L8" s="17" t="str">
        <f ca="1">INDIRECT(ADDRESS(28,7))&amp;":"&amp;INDIRECT(ADDRESS(28,6))</f>
        <v>11:13</v>
      </c>
      <c r="M8" s="93">
        <f ca="1">IF(COUNT(F9:L9)=0,"",COUNTIF(F9:L9,"&gt;0")+0.5*COUNTIF(F9:L9,0))</f>
        <v>0</v>
      </c>
      <c r="N8" s="12"/>
      <c r="O8" s="74">
        <v>7</v>
      </c>
    </row>
    <row r="9" spans="2:15" ht="24" customHeight="1" x14ac:dyDescent="0.25">
      <c r="B9" s="76"/>
      <c r="C9" s="66"/>
      <c r="D9" s="67"/>
      <c r="E9" s="68"/>
      <c r="F9" s="18">
        <f ca="1">IF(LEN(INDIRECT(ADDRESS(ROW()-1, COLUMN())))=1,"",INDIRECT(ADDRESS(32,6))-INDIRECT(ADDRESS(32,7)))</f>
        <v>-10</v>
      </c>
      <c r="G9" s="12">
        <f ca="1">IF(LEN(INDIRECT(ADDRESS(ROW()-1, COLUMN())))=1,"",INDIRECT(ADDRESS(39,7))-INDIRECT(ADDRESS(39,6)))</f>
        <v>-6</v>
      </c>
      <c r="H9" s="19"/>
      <c r="I9" s="12">
        <f ca="1">IF(LEN(INDIRECT(ADDRESS(ROW()-1, COLUMN())))=1,"",INDIRECT(ADDRESS(49,6))-INDIRECT(ADDRESS(49,7)))</f>
        <v>-8</v>
      </c>
      <c r="J9" s="12">
        <f ca="1">IF(LEN(INDIRECT(ADDRESS(ROW()-1, COLUMN())))=1,"",INDIRECT(ADDRESS(52,7))-INDIRECT(ADDRESS(52,6)))</f>
        <v>-4</v>
      </c>
      <c r="K9" s="43">
        <f ca="1">IF(LEN(INDIRECT(ADDRESS(ROW()-1, COLUMN())))=1,"",INDIRECT(ADDRESS(23,6))-INDIRECT(ADDRESS(23,7)))</f>
        <v>-6</v>
      </c>
      <c r="L9" s="13">
        <f ca="1">IF(LEN(INDIRECT(ADDRESS(ROW()-1, COLUMN())))=1,"",INDIRECT(ADDRESS(28,7))-INDIRECT(ADDRESS(28,6)))</f>
        <v>-2</v>
      </c>
      <c r="M9" s="93"/>
      <c r="N9" s="12">
        <f ca="1">IF(COUNT(F9:L9)=0,"",SUM(F9:L9))</f>
        <v>-36</v>
      </c>
      <c r="O9" s="77"/>
    </row>
    <row r="10" spans="2:15" ht="24" customHeight="1" x14ac:dyDescent="0.25">
      <c r="B10" s="64">
        <v>4</v>
      </c>
      <c r="C10" s="66" t="s">
        <v>58</v>
      </c>
      <c r="D10" s="67"/>
      <c r="E10" s="68"/>
      <c r="F10" s="14" t="str">
        <f ca="1">INDIRECT(ADDRESS(38,7))&amp;":"&amp;INDIRECT(ADDRESS(38,6))</f>
        <v>8:13</v>
      </c>
      <c r="G10" s="16" t="str">
        <f ca="1">INDIRECT(ADDRESS(42,6))&amp;":"&amp;INDIRECT(ADDRESS(42,7))</f>
        <v>1:13</v>
      </c>
      <c r="H10" s="16" t="str">
        <f ca="1">INDIRECT(ADDRESS(49,7))&amp;":"&amp;INDIRECT(ADDRESS(49,6))</f>
        <v>13:5</v>
      </c>
      <c r="I10" s="15"/>
      <c r="J10" s="16" t="str">
        <f ca="1">INDIRECT(ADDRESS(24,6))&amp;":"&amp;INDIRECT(ADDRESS(24,7))</f>
        <v>13:7</v>
      </c>
      <c r="K10" s="44" t="str">
        <f ca="1">INDIRECT(ADDRESS(27,7))&amp;":"&amp;INDIRECT(ADDRESS(27,6))</f>
        <v>11:13</v>
      </c>
      <c r="L10" s="17" t="str">
        <f ca="1">INDIRECT(ADDRESS(33,6))&amp;":"&amp;INDIRECT(ADDRESS(33,7))</f>
        <v>12:13</v>
      </c>
      <c r="M10" s="93">
        <f ca="1">IF(COUNT(F11:L11)=0,"",COUNTIF(F11:L11,"&gt;0")+0.5*COUNTIF(F11:L11,0))</f>
        <v>2</v>
      </c>
      <c r="N10" s="12"/>
      <c r="O10" s="74">
        <v>5</v>
      </c>
    </row>
    <row r="11" spans="2:15" ht="24" customHeight="1" x14ac:dyDescent="0.25">
      <c r="B11" s="76"/>
      <c r="C11" s="66"/>
      <c r="D11" s="67"/>
      <c r="E11" s="68"/>
      <c r="F11" s="18">
        <f ca="1">IF(LEN(INDIRECT(ADDRESS(ROW()-1, COLUMN())))=1,"",INDIRECT(ADDRESS(38,7))-INDIRECT(ADDRESS(38,6)))</f>
        <v>-5</v>
      </c>
      <c r="G11" s="12">
        <f ca="1">IF(LEN(INDIRECT(ADDRESS(ROW()-1, COLUMN())))=1,"",INDIRECT(ADDRESS(42,6))-INDIRECT(ADDRESS(42,7)))</f>
        <v>-12</v>
      </c>
      <c r="H11" s="12">
        <f ca="1">IF(LEN(INDIRECT(ADDRESS(ROW()-1, COLUMN())))=1,"",INDIRECT(ADDRESS(49,7))-INDIRECT(ADDRESS(49,6)))</f>
        <v>8</v>
      </c>
      <c r="I11" s="19"/>
      <c r="J11" s="12">
        <f ca="1">IF(LEN(INDIRECT(ADDRESS(ROW()-1, COLUMN())))=1,"",INDIRECT(ADDRESS(24,6))-INDIRECT(ADDRESS(24,7)))</f>
        <v>6</v>
      </c>
      <c r="K11" s="43">
        <f ca="1">IF(LEN(INDIRECT(ADDRESS(ROW()-1, COLUMN())))=1,"",INDIRECT(ADDRESS(27,7))-INDIRECT(ADDRESS(27,6)))</f>
        <v>-2</v>
      </c>
      <c r="L11" s="13">
        <f ca="1">IF(LEN(INDIRECT(ADDRESS(ROW()-1, COLUMN())))=1,"",INDIRECT(ADDRESS(33,6))-INDIRECT(ADDRESS(33,7)))</f>
        <v>-1</v>
      </c>
      <c r="M11" s="93"/>
      <c r="N11" s="12">
        <f ca="1">IF(COUNT(F11:L11)=0,"",SUM(F11:L11))</f>
        <v>-6</v>
      </c>
      <c r="O11" s="77"/>
    </row>
    <row r="12" spans="2:15" ht="24" customHeight="1" x14ac:dyDescent="0.25">
      <c r="B12" s="64">
        <v>5</v>
      </c>
      <c r="C12" s="66" t="s">
        <v>59</v>
      </c>
      <c r="D12" s="67"/>
      <c r="E12" s="68"/>
      <c r="F12" s="14" t="str">
        <f ca="1">INDIRECT(ADDRESS(43,6))&amp;":"&amp;INDIRECT(ADDRESS(43,7))</f>
        <v>13:10</v>
      </c>
      <c r="G12" s="16" t="str">
        <f ca="1">INDIRECT(ADDRESS(48,7))&amp;":"&amp;INDIRECT(ADDRESS(48,6))</f>
        <v>10:13</v>
      </c>
      <c r="H12" s="16" t="str">
        <f ca="1">INDIRECT(ADDRESS(52,6))&amp;":"&amp;INDIRECT(ADDRESS(52,7))</f>
        <v>13:9</v>
      </c>
      <c r="I12" s="16" t="str">
        <f ca="1">INDIRECT(ADDRESS(24,7))&amp;":"&amp;INDIRECT(ADDRESS(24,6))</f>
        <v>7:13</v>
      </c>
      <c r="J12" s="15"/>
      <c r="K12" s="44" t="str">
        <f ca="1">INDIRECT(ADDRESS(34,6))&amp;":"&amp;INDIRECT(ADDRESS(34,7))</f>
        <v>9:13</v>
      </c>
      <c r="L12" s="17" t="str">
        <f ca="1">INDIRECT(ADDRESS(37,7))&amp;":"&amp;INDIRECT(ADDRESS(37,6))</f>
        <v>11:13</v>
      </c>
      <c r="M12" s="93">
        <f ca="1">IF(COUNT(F13:L13)=0,"",COUNTIF(F13:L13,"&gt;0")+0.5*COUNTIF(F13:L13,0))</f>
        <v>2</v>
      </c>
      <c r="N12" s="12"/>
      <c r="O12" s="74">
        <v>6</v>
      </c>
    </row>
    <row r="13" spans="2:15" ht="24" customHeight="1" x14ac:dyDescent="0.25">
      <c r="B13" s="76"/>
      <c r="C13" s="66"/>
      <c r="D13" s="67"/>
      <c r="E13" s="68"/>
      <c r="F13" s="18">
        <f ca="1">IF(LEN(INDIRECT(ADDRESS(ROW()-1, COLUMN())))=1,"",INDIRECT(ADDRESS(43,6))-INDIRECT(ADDRESS(43,7)))</f>
        <v>3</v>
      </c>
      <c r="G13" s="12">
        <f ca="1">IF(LEN(INDIRECT(ADDRESS(ROW()-1, COLUMN())))=1,"",INDIRECT(ADDRESS(48,7))-INDIRECT(ADDRESS(48,6)))</f>
        <v>-3</v>
      </c>
      <c r="H13" s="12">
        <f ca="1">IF(LEN(INDIRECT(ADDRESS(ROW()-1, COLUMN())))=1,"",INDIRECT(ADDRESS(52,6))-INDIRECT(ADDRESS(52,7)))</f>
        <v>4</v>
      </c>
      <c r="I13" s="12">
        <f ca="1">IF(LEN(INDIRECT(ADDRESS(ROW()-1, COLUMN())))=1,"",INDIRECT(ADDRESS(24,7))-INDIRECT(ADDRESS(24,6)))</f>
        <v>-6</v>
      </c>
      <c r="J13" s="19"/>
      <c r="K13" s="43">
        <f ca="1">IF(LEN(INDIRECT(ADDRESS(ROW()-1, COLUMN())))=1,"",INDIRECT(ADDRESS(34,6))-INDIRECT(ADDRESS(34,7)))</f>
        <v>-4</v>
      </c>
      <c r="L13" s="13">
        <f ca="1">IF(LEN(INDIRECT(ADDRESS(ROW()-1, COLUMN())))=1,"",INDIRECT(ADDRESS(37,7))-INDIRECT(ADDRESS(37,6)))</f>
        <v>-2</v>
      </c>
      <c r="M13" s="93"/>
      <c r="N13" s="12">
        <f ca="1">IF(COUNT(F13:L13)=0,"",SUM(F13:L13))</f>
        <v>-8</v>
      </c>
      <c r="O13" s="77"/>
    </row>
    <row r="14" spans="2:15" ht="24" customHeight="1" x14ac:dyDescent="0.25">
      <c r="B14" s="64">
        <v>6</v>
      </c>
      <c r="C14" s="66" t="s">
        <v>60</v>
      </c>
      <c r="D14" s="67"/>
      <c r="E14" s="68"/>
      <c r="F14" s="14" t="str">
        <f ca="1">INDIRECT(ADDRESS(47,7))&amp;":"&amp;INDIRECT(ADDRESS(47,6))</f>
        <v>12:13</v>
      </c>
      <c r="G14" s="16" t="str">
        <f ca="1">INDIRECT(ADDRESS(53,6))&amp;":"&amp;INDIRECT(ADDRESS(53,7))</f>
        <v>8:13</v>
      </c>
      <c r="H14" s="16" t="str">
        <f ca="1">INDIRECT(ADDRESS(23,7))&amp;":"&amp;INDIRECT(ADDRESS(23,6))</f>
        <v>13:7</v>
      </c>
      <c r="I14" s="16" t="str">
        <f ca="1">INDIRECT(ADDRESS(27,6))&amp;":"&amp;INDIRECT(ADDRESS(27,7))</f>
        <v>13:11</v>
      </c>
      <c r="J14" s="16" t="str">
        <f ca="1">INDIRECT(ADDRESS(34,7))&amp;":"&amp;INDIRECT(ADDRESS(34,6))</f>
        <v>13:9</v>
      </c>
      <c r="K14" s="45"/>
      <c r="L14" s="17" t="str">
        <f ca="1">INDIRECT(ADDRESS(44,6))&amp;":"&amp;INDIRECT(ADDRESS(44,7))</f>
        <v>3:13</v>
      </c>
      <c r="M14" s="93">
        <f ca="1">IF(COUNT(F15:L15)=0,"",COUNTIF(F15:L15,"&gt;0")+0.5*COUNTIF(F15:L15,0))</f>
        <v>3</v>
      </c>
      <c r="N14" s="12"/>
      <c r="O14" s="74">
        <v>4</v>
      </c>
    </row>
    <row r="15" spans="2:15" ht="24" customHeight="1" x14ac:dyDescent="0.25">
      <c r="B15" s="76"/>
      <c r="C15" s="66"/>
      <c r="D15" s="67"/>
      <c r="E15" s="68"/>
      <c r="F15" s="18">
        <f ca="1">IF(LEN(INDIRECT(ADDRESS(ROW()-1, COLUMN())))=1,"",INDIRECT(ADDRESS(47,7))-INDIRECT(ADDRESS(47,6)))</f>
        <v>-1</v>
      </c>
      <c r="G15" s="12">
        <f ca="1">IF(LEN(INDIRECT(ADDRESS(ROW()-1, COLUMN())))=1,"",INDIRECT(ADDRESS(53,6))-INDIRECT(ADDRESS(53,7)))</f>
        <v>-5</v>
      </c>
      <c r="H15" s="12">
        <f ca="1">IF(LEN(INDIRECT(ADDRESS(ROW()-1, COLUMN())))=1,"",INDIRECT(ADDRESS(23,7))-INDIRECT(ADDRESS(23,6)))</f>
        <v>6</v>
      </c>
      <c r="I15" s="12">
        <f ca="1">IF(LEN(INDIRECT(ADDRESS(ROW()-1, COLUMN())))=1,"",INDIRECT(ADDRESS(27,6))-INDIRECT(ADDRESS(27,7)))</f>
        <v>2</v>
      </c>
      <c r="J15" s="12">
        <f ca="1">IF(LEN(INDIRECT(ADDRESS(ROW()-1, COLUMN())))=1,"",INDIRECT(ADDRESS(34,7))-INDIRECT(ADDRESS(34,6)))</f>
        <v>4</v>
      </c>
      <c r="K15" s="46"/>
      <c r="L15" s="47">
        <f ca="1">IF(LEN(INDIRECT(ADDRESS(ROW()-1, COLUMN())))=1,"",INDIRECT(ADDRESS(44,6))-INDIRECT(ADDRESS(44,7)))</f>
        <v>-10</v>
      </c>
      <c r="M15" s="93"/>
      <c r="N15" s="12">
        <f ca="1">IF(COUNT(F15:L15)=0,"",SUM(F15:L15))</f>
        <v>-4</v>
      </c>
      <c r="O15" s="77"/>
    </row>
    <row r="16" spans="2:15" ht="24" customHeight="1" x14ac:dyDescent="0.25">
      <c r="B16" s="116">
        <v>7</v>
      </c>
      <c r="C16" s="113" t="s">
        <v>61</v>
      </c>
      <c r="D16" s="114"/>
      <c r="E16" s="115"/>
      <c r="F16" s="48" t="str">
        <f ca="1">INDIRECT(ADDRESS(54,6))&amp;":"&amp;INDIRECT(ADDRESS(54,7))</f>
        <v>8:13</v>
      </c>
      <c r="G16" s="49" t="str">
        <f ca="1">INDIRECT(ADDRESS(22,7))&amp;":"&amp;INDIRECT(ADDRESS(22,6))</f>
        <v>5:13</v>
      </c>
      <c r="H16" s="49" t="str">
        <f ca="1">INDIRECT(ADDRESS(28,6))&amp;":"&amp;INDIRECT(ADDRESS(28,7))</f>
        <v>13:11</v>
      </c>
      <c r="I16" s="49" t="str">
        <f ca="1">INDIRECT(ADDRESS(33,7))&amp;":"&amp;INDIRECT(ADDRESS(33,6))</f>
        <v>13:12</v>
      </c>
      <c r="J16" s="49" t="str">
        <f ca="1">INDIRECT(ADDRESS(37,6))&amp;":"&amp;INDIRECT(ADDRESS(37,7))</f>
        <v>13:11</v>
      </c>
      <c r="K16" s="50" t="str">
        <f ca="1">INDIRECT(ADDRESS(44,7))&amp;":"&amp;INDIRECT(ADDRESS(44,6))</f>
        <v>13:3</v>
      </c>
      <c r="L16" s="51"/>
      <c r="M16" s="93">
        <f ca="1">IF(COUNT(F17:L17)=0,"",COUNTIF(F17:L17,"&gt;0")+0.5*COUNTIF(F17:L17,0))</f>
        <v>4</v>
      </c>
      <c r="N16" s="52"/>
      <c r="O16" s="120">
        <v>3</v>
      </c>
    </row>
    <row r="17" spans="2:15" ht="24" customHeight="1" thickBot="1" x14ac:dyDescent="0.3">
      <c r="B17" s="65"/>
      <c r="C17" s="117"/>
      <c r="D17" s="118"/>
      <c r="E17" s="119"/>
      <c r="F17" s="21">
        <f ca="1">IF(LEN(INDIRECT(ADDRESS(ROW()-1, COLUMN())))=1,"",INDIRECT(ADDRESS(54,6))-INDIRECT(ADDRESS(54,7)))</f>
        <v>-5</v>
      </c>
      <c r="G17" s="22">
        <f ca="1">IF(LEN(INDIRECT(ADDRESS(ROW()-1, COLUMN())))=1,"",INDIRECT(ADDRESS(22,7))-INDIRECT(ADDRESS(22,6)))</f>
        <v>-8</v>
      </c>
      <c r="H17" s="22">
        <f ca="1">IF(LEN(INDIRECT(ADDRESS(ROW()-1, COLUMN())))=1,"",INDIRECT(ADDRESS(28,6))-INDIRECT(ADDRESS(28,7)))</f>
        <v>2</v>
      </c>
      <c r="I17" s="22">
        <f ca="1">IF(LEN(INDIRECT(ADDRESS(ROW()-1, COLUMN())))=1,"",INDIRECT(ADDRESS(33,7))-INDIRECT(ADDRESS(33,6)))</f>
        <v>1</v>
      </c>
      <c r="J17" s="22">
        <f ca="1">IF(LEN(INDIRECT(ADDRESS(ROW()-1, COLUMN())))=1,"",INDIRECT(ADDRESS(37,6))-INDIRECT(ADDRESS(37,7)))</f>
        <v>2</v>
      </c>
      <c r="K17" s="53">
        <f ca="1">IF(LEN(INDIRECT(ADDRESS(ROW()-1, COLUMN())))=1,"",INDIRECT(ADDRESS(44,7))-INDIRECT(ADDRESS(44,6)))</f>
        <v>10</v>
      </c>
      <c r="L17" s="23"/>
      <c r="M17" s="95"/>
      <c r="N17" s="22">
        <f ca="1">IF(COUNT(F17:L17)=0,"",SUM(F17:L17))</f>
        <v>2</v>
      </c>
      <c r="O17" s="75"/>
    </row>
    <row r="21" spans="2:15" ht="30" customHeight="1" thickBot="1" x14ac:dyDescent="0.3">
      <c r="B21" s="63" t="s">
        <v>12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2:15" ht="30" customHeight="1" thickBot="1" x14ac:dyDescent="0.3">
      <c r="B22" s="24">
        <v>2</v>
      </c>
      <c r="C22" s="60" t="str">
        <f ca="1">IF(ISBLANK(INDIRECT(ADDRESS(B22*2+2,3))),"",INDIRECT(ADDRESS(B22*2+2,3)))</f>
        <v>Большакова Мария</v>
      </c>
      <c r="D22" s="60"/>
      <c r="E22" s="61"/>
      <c r="F22" s="25">
        <v>13</v>
      </c>
      <c r="G22" s="26">
        <v>5</v>
      </c>
      <c r="H22" s="62" t="str">
        <f ca="1">IF(ISBLANK(INDIRECT(ADDRESS(K22*2+2,3))),"",INDIRECT(ADDRESS(K22*2+2,3)))</f>
        <v>Елсакова Алена</v>
      </c>
      <c r="I22" s="60"/>
      <c r="J22" s="60"/>
      <c r="K22" s="24">
        <v>7</v>
      </c>
      <c r="L22" s="27" t="s">
        <v>13</v>
      </c>
      <c r="M22" s="54"/>
    </row>
    <row r="23" spans="2:15" ht="30" customHeight="1" thickBot="1" x14ac:dyDescent="0.3">
      <c r="B23" s="24">
        <v>3</v>
      </c>
      <c r="C23" s="60" t="str">
        <f ca="1">IF(ISBLANK(INDIRECT(ADDRESS(B23*2+2,3))),"",INDIRECT(ADDRESS(B23*2+2,3)))</f>
        <v>Пелевина Вера</v>
      </c>
      <c r="D23" s="60"/>
      <c r="E23" s="61"/>
      <c r="F23" s="25">
        <v>7</v>
      </c>
      <c r="G23" s="26">
        <v>13</v>
      </c>
      <c r="H23" s="62" t="str">
        <f ca="1">IF(ISBLANK(INDIRECT(ADDRESS(K23*2+2,3))),"",INDIRECT(ADDRESS(K23*2+2,3)))</f>
        <v>Иноземцева Анастасия</v>
      </c>
      <c r="I23" s="60"/>
      <c r="J23" s="60"/>
      <c r="K23" s="24">
        <v>6</v>
      </c>
      <c r="L23" s="27" t="s">
        <v>13</v>
      </c>
      <c r="M23" s="54"/>
    </row>
    <row r="24" spans="2:15" ht="30" customHeight="1" thickBot="1" x14ac:dyDescent="0.3">
      <c r="B24" s="24">
        <v>4</v>
      </c>
      <c r="C24" s="60" t="str">
        <f ca="1">IF(ISBLANK(INDIRECT(ADDRESS(B24*2+2,3))),"",INDIRECT(ADDRESS(B24*2+2,3)))</f>
        <v>Елсакова Оксана</v>
      </c>
      <c r="D24" s="60"/>
      <c r="E24" s="61"/>
      <c r="F24" s="25">
        <v>13</v>
      </c>
      <c r="G24" s="26">
        <v>7</v>
      </c>
      <c r="H24" s="62" t="str">
        <f ca="1">IF(ISBLANK(INDIRECT(ADDRESS(K24*2+2,3))),"",INDIRECT(ADDRESS(K24*2+2,3)))</f>
        <v>Лебедева Елена</v>
      </c>
      <c r="I24" s="60"/>
      <c r="J24" s="60"/>
      <c r="K24" s="24">
        <v>5</v>
      </c>
      <c r="L24" s="27" t="s">
        <v>13</v>
      </c>
      <c r="M24" s="54"/>
    </row>
    <row r="25" spans="2:15" ht="30" customHeight="1" x14ac:dyDescent="0.25"/>
    <row r="26" spans="2:15" ht="30" customHeight="1" thickBot="1" x14ac:dyDescent="0.3">
      <c r="B26" s="63" t="s">
        <v>14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2:15" ht="30" customHeight="1" thickBot="1" x14ac:dyDescent="0.3">
      <c r="B27" s="24">
        <v>6</v>
      </c>
      <c r="C27" s="60" t="str">
        <f ca="1">IF(ISBLANK(INDIRECT(ADDRESS(B27*2+2,3))),"",INDIRECT(ADDRESS(B27*2+2,3)))</f>
        <v>Иноземцева Анастасия</v>
      </c>
      <c r="D27" s="60"/>
      <c r="E27" s="61"/>
      <c r="F27" s="25">
        <v>13</v>
      </c>
      <c r="G27" s="26">
        <v>11</v>
      </c>
      <c r="H27" s="62" t="str">
        <f ca="1">IF(ISBLANK(INDIRECT(ADDRESS(K27*2+2,3))),"",INDIRECT(ADDRESS(K27*2+2,3)))</f>
        <v>Елсакова Оксана</v>
      </c>
      <c r="I27" s="60"/>
      <c r="J27" s="60"/>
      <c r="K27" s="24">
        <v>4</v>
      </c>
      <c r="L27" s="27" t="s">
        <v>13</v>
      </c>
      <c r="M27" s="54"/>
    </row>
    <row r="28" spans="2:15" ht="30" customHeight="1" thickBot="1" x14ac:dyDescent="0.3">
      <c r="B28" s="24">
        <v>7</v>
      </c>
      <c r="C28" s="60" t="str">
        <f ca="1">IF(ISBLANK(INDIRECT(ADDRESS(B28*2+2,3))),"",INDIRECT(ADDRESS(B28*2+2,3)))</f>
        <v>Елсакова Алена</v>
      </c>
      <c r="D28" s="60"/>
      <c r="E28" s="61"/>
      <c r="F28" s="25">
        <v>13</v>
      </c>
      <c r="G28" s="26">
        <v>11</v>
      </c>
      <c r="H28" s="62" t="str">
        <f ca="1">IF(ISBLANK(INDIRECT(ADDRESS(K28*2+2,3))),"",INDIRECT(ADDRESS(K28*2+2,3)))</f>
        <v>Пелевина Вера</v>
      </c>
      <c r="I28" s="60"/>
      <c r="J28" s="60"/>
      <c r="K28" s="24">
        <v>3</v>
      </c>
      <c r="L28" s="27" t="s">
        <v>13</v>
      </c>
      <c r="M28" s="54"/>
    </row>
    <row r="29" spans="2:15" ht="30" customHeight="1" thickBot="1" x14ac:dyDescent="0.3">
      <c r="B29" s="24">
        <v>1</v>
      </c>
      <c r="C29" s="60" t="str">
        <f ca="1">IF(ISBLANK(INDIRECT(ADDRESS(B29*2+2,3))),"",INDIRECT(ADDRESS(B29*2+2,3)))</f>
        <v>Пелевина Наталья</v>
      </c>
      <c r="D29" s="60"/>
      <c r="E29" s="61"/>
      <c r="F29" s="25">
        <v>9</v>
      </c>
      <c r="G29" s="26">
        <v>13</v>
      </c>
      <c r="H29" s="62" t="str">
        <f ca="1">IF(ISBLANK(INDIRECT(ADDRESS(K29*2+2,3))),"",INDIRECT(ADDRESS(K29*2+2,3)))</f>
        <v>Большакова Мария</v>
      </c>
      <c r="I29" s="60"/>
      <c r="J29" s="60"/>
      <c r="K29" s="24">
        <v>2</v>
      </c>
      <c r="L29" s="27" t="s">
        <v>13</v>
      </c>
      <c r="M29" s="54"/>
    </row>
    <row r="30" spans="2:15" ht="30" customHeight="1" x14ac:dyDescent="0.25"/>
    <row r="31" spans="2:15" ht="30" customHeight="1" thickBot="1" x14ac:dyDescent="0.3">
      <c r="B31" s="63" t="s">
        <v>15</v>
      </c>
      <c r="C31" s="63"/>
      <c r="D31" s="63"/>
      <c r="E31" s="63"/>
      <c r="F31" s="63"/>
      <c r="G31" s="63"/>
      <c r="H31" s="63"/>
      <c r="I31" s="63"/>
      <c r="J31" s="63"/>
      <c r="K31" s="63"/>
    </row>
    <row r="32" spans="2:15" ht="30" customHeight="1" thickBot="1" x14ac:dyDescent="0.3">
      <c r="B32" s="24">
        <v>3</v>
      </c>
      <c r="C32" s="60" t="str">
        <f ca="1">IF(ISBLANK(INDIRECT(ADDRESS(B32*2+2,3))),"",INDIRECT(ADDRESS(B32*2+2,3)))</f>
        <v>Пелевина Вера</v>
      </c>
      <c r="D32" s="60"/>
      <c r="E32" s="61"/>
      <c r="F32" s="25">
        <v>3</v>
      </c>
      <c r="G32" s="26">
        <v>13</v>
      </c>
      <c r="H32" s="62" t="str">
        <f ca="1">IF(ISBLANK(INDIRECT(ADDRESS(K32*2+2,3))),"",INDIRECT(ADDRESS(K32*2+2,3)))</f>
        <v>Пелевина Наталья</v>
      </c>
      <c r="I32" s="60"/>
      <c r="J32" s="60"/>
      <c r="K32" s="24">
        <v>1</v>
      </c>
      <c r="L32" s="27" t="s">
        <v>13</v>
      </c>
      <c r="M32" s="54"/>
    </row>
    <row r="33" spans="2:13" ht="30" customHeight="1" thickBot="1" x14ac:dyDescent="0.3">
      <c r="B33" s="24">
        <v>4</v>
      </c>
      <c r="C33" s="60" t="str">
        <f ca="1">IF(ISBLANK(INDIRECT(ADDRESS(B33*2+2,3))),"",INDIRECT(ADDRESS(B33*2+2,3)))</f>
        <v>Елсакова Оксана</v>
      </c>
      <c r="D33" s="60"/>
      <c r="E33" s="61"/>
      <c r="F33" s="25">
        <v>12</v>
      </c>
      <c r="G33" s="26">
        <v>13</v>
      </c>
      <c r="H33" s="62" t="str">
        <f ca="1">IF(ISBLANK(INDIRECT(ADDRESS(K33*2+2,3))),"",INDIRECT(ADDRESS(K33*2+2,3)))</f>
        <v>Елсакова Алена</v>
      </c>
      <c r="I33" s="60"/>
      <c r="J33" s="60"/>
      <c r="K33" s="24">
        <v>7</v>
      </c>
      <c r="L33" s="27" t="s">
        <v>13</v>
      </c>
      <c r="M33" s="54"/>
    </row>
    <row r="34" spans="2:13" ht="30" customHeight="1" thickBot="1" x14ac:dyDescent="0.3">
      <c r="B34" s="24">
        <v>5</v>
      </c>
      <c r="C34" s="60" t="str">
        <f ca="1">IF(ISBLANK(INDIRECT(ADDRESS(B34*2+2,3))),"",INDIRECT(ADDRESS(B34*2+2,3)))</f>
        <v>Лебедева Елена</v>
      </c>
      <c r="D34" s="60"/>
      <c r="E34" s="61"/>
      <c r="F34" s="25">
        <v>9</v>
      </c>
      <c r="G34" s="26">
        <v>13</v>
      </c>
      <c r="H34" s="62" t="str">
        <f ca="1">IF(ISBLANK(INDIRECT(ADDRESS(K34*2+2,3))),"",INDIRECT(ADDRESS(K34*2+2,3)))</f>
        <v>Иноземцева Анастасия</v>
      </c>
      <c r="I34" s="60"/>
      <c r="J34" s="60"/>
      <c r="K34" s="24">
        <v>6</v>
      </c>
      <c r="L34" s="27" t="s">
        <v>13</v>
      </c>
      <c r="M34" s="54"/>
    </row>
    <row r="35" spans="2:13" ht="30" customHeight="1" x14ac:dyDescent="0.25"/>
    <row r="36" spans="2:13" ht="30" customHeight="1" thickBot="1" x14ac:dyDescent="0.3">
      <c r="B36" s="63" t="s">
        <v>16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2:13" ht="30" customHeight="1" thickBot="1" x14ac:dyDescent="0.3">
      <c r="B37" s="24">
        <v>7</v>
      </c>
      <c r="C37" s="60" t="str">
        <f ca="1">IF(ISBLANK(INDIRECT(ADDRESS(B37*2+2,3))),"",INDIRECT(ADDRESS(B37*2+2,3)))</f>
        <v>Елсакова Алена</v>
      </c>
      <c r="D37" s="60"/>
      <c r="E37" s="61"/>
      <c r="F37" s="25">
        <v>13</v>
      </c>
      <c r="G37" s="26">
        <v>11</v>
      </c>
      <c r="H37" s="62" t="str">
        <f ca="1">IF(ISBLANK(INDIRECT(ADDRESS(K37*2+2,3))),"",INDIRECT(ADDRESS(K37*2+2,3)))</f>
        <v>Лебедева Елена</v>
      </c>
      <c r="I37" s="60"/>
      <c r="J37" s="60"/>
      <c r="K37" s="24">
        <v>5</v>
      </c>
      <c r="L37" s="27" t="s">
        <v>13</v>
      </c>
      <c r="M37" s="54"/>
    </row>
    <row r="38" spans="2:13" ht="30" customHeight="1" thickBot="1" x14ac:dyDescent="0.3">
      <c r="B38" s="24">
        <v>1</v>
      </c>
      <c r="C38" s="60" t="str">
        <f ca="1">IF(ISBLANK(INDIRECT(ADDRESS(B38*2+2,3))),"",INDIRECT(ADDRESS(B38*2+2,3)))</f>
        <v>Пелевина Наталья</v>
      </c>
      <c r="D38" s="60"/>
      <c r="E38" s="61"/>
      <c r="F38" s="25">
        <v>13</v>
      </c>
      <c r="G38" s="26">
        <v>8</v>
      </c>
      <c r="H38" s="62" t="str">
        <f ca="1">IF(ISBLANK(INDIRECT(ADDRESS(K38*2+2,3))),"",INDIRECT(ADDRESS(K38*2+2,3)))</f>
        <v>Елсакова Оксана</v>
      </c>
      <c r="I38" s="60"/>
      <c r="J38" s="60"/>
      <c r="K38" s="24">
        <v>4</v>
      </c>
      <c r="L38" s="27" t="s">
        <v>13</v>
      </c>
      <c r="M38" s="54"/>
    </row>
    <row r="39" spans="2:13" ht="30" customHeight="1" thickBot="1" x14ac:dyDescent="0.3">
      <c r="B39" s="24">
        <v>2</v>
      </c>
      <c r="C39" s="60" t="str">
        <f ca="1">IF(ISBLANK(INDIRECT(ADDRESS(B39*2+2,3))),"",INDIRECT(ADDRESS(B39*2+2,3)))</f>
        <v>Большакова Мария</v>
      </c>
      <c r="D39" s="60"/>
      <c r="E39" s="61"/>
      <c r="F39" s="25">
        <v>13</v>
      </c>
      <c r="G39" s="26">
        <v>7</v>
      </c>
      <c r="H39" s="62" t="str">
        <f ca="1">IF(ISBLANK(INDIRECT(ADDRESS(K39*2+2,3))),"",INDIRECT(ADDRESS(K39*2+2,3)))</f>
        <v>Пелевина Вера</v>
      </c>
      <c r="I39" s="60"/>
      <c r="J39" s="60"/>
      <c r="K39" s="24">
        <v>3</v>
      </c>
      <c r="L39" s="27" t="s">
        <v>13</v>
      </c>
      <c r="M39" s="54"/>
    </row>
    <row r="40" spans="2:13" ht="30" customHeight="1" x14ac:dyDescent="0.25"/>
    <row r="41" spans="2:13" ht="30" customHeight="1" thickBot="1" x14ac:dyDescent="0.3">
      <c r="B41" s="63" t="s">
        <v>17</v>
      </c>
      <c r="C41" s="63"/>
      <c r="D41" s="63"/>
      <c r="E41" s="63"/>
      <c r="F41" s="63"/>
      <c r="G41" s="63"/>
      <c r="H41" s="63"/>
      <c r="I41" s="63"/>
      <c r="J41" s="63"/>
      <c r="K41" s="63"/>
    </row>
    <row r="42" spans="2:13" ht="30" customHeight="1" thickBot="1" x14ac:dyDescent="0.3">
      <c r="B42" s="24">
        <v>4</v>
      </c>
      <c r="C42" s="60" t="str">
        <f ca="1">IF(ISBLANK(INDIRECT(ADDRESS(B42*2+2,3))),"",INDIRECT(ADDRESS(B42*2+2,3)))</f>
        <v>Елсакова Оксана</v>
      </c>
      <c r="D42" s="60"/>
      <c r="E42" s="61"/>
      <c r="F42" s="25">
        <v>1</v>
      </c>
      <c r="G42" s="26">
        <v>13</v>
      </c>
      <c r="H42" s="62" t="str">
        <f ca="1">IF(ISBLANK(INDIRECT(ADDRESS(K42*2+2,3))),"",INDIRECT(ADDRESS(K42*2+2,3)))</f>
        <v>Большакова Мария</v>
      </c>
      <c r="I42" s="60"/>
      <c r="J42" s="60"/>
      <c r="K42" s="24">
        <v>2</v>
      </c>
      <c r="L42" s="27" t="s">
        <v>13</v>
      </c>
      <c r="M42" s="54"/>
    </row>
    <row r="43" spans="2:13" ht="30" customHeight="1" thickBot="1" x14ac:dyDescent="0.3">
      <c r="B43" s="24">
        <v>5</v>
      </c>
      <c r="C43" s="60" t="str">
        <f ca="1">IF(ISBLANK(INDIRECT(ADDRESS(B43*2+2,3))),"",INDIRECT(ADDRESS(B43*2+2,3)))</f>
        <v>Лебедева Елена</v>
      </c>
      <c r="D43" s="60"/>
      <c r="E43" s="61"/>
      <c r="F43" s="25">
        <v>13</v>
      </c>
      <c r="G43" s="26">
        <v>10</v>
      </c>
      <c r="H43" s="62" t="str">
        <f ca="1">IF(ISBLANK(INDIRECT(ADDRESS(K43*2+2,3))),"",INDIRECT(ADDRESS(K43*2+2,3)))</f>
        <v>Пелевина Наталья</v>
      </c>
      <c r="I43" s="60"/>
      <c r="J43" s="60"/>
      <c r="K43" s="24">
        <v>1</v>
      </c>
      <c r="L43" s="27" t="s">
        <v>13</v>
      </c>
      <c r="M43" s="54"/>
    </row>
    <row r="44" spans="2:13" ht="30" customHeight="1" thickBot="1" x14ac:dyDescent="0.3">
      <c r="B44" s="24">
        <v>6</v>
      </c>
      <c r="C44" s="60" t="str">
        <f ca="1">IF(ISBLANK(INDIRECT(ADDRESS(B44*2+2,3))),"",INDIRECT(ADDRESS(B44*2+2,3)))</f>
        <v>Иноземцева Анастасия</v>
      </c>
      <c r="D44" s="60"/>
      <c r="E44" s="61"/>
      <c r="F44" s="25">
        <v>3</v>
      </c>
      <c r="G44" s="26">
        <v>13</v>
      </c>
      <c r="H44" s="62" t="str">
        <f ca="1">IF(ISBLANK(INDIRECT(ADDRESS(K44*2+2,3))),"",INDIRECT(ADDRESS(K44*2+2,3)))</f>
        <v>Елсакова Алена</v>
      </c>
      <c r="I44" s="60"/>
      <c r="J44" s="60"/>
      <c r="K44" s="24">
        <v>7</v>
      </c>
      <c r="L44" s="27" t="s">
        <v>13</v>
      </c>
      <c r="M44" s="54"/>
    </row>
    <row r="45" spans="2:13" ht="30" customHeight="1" x14ac:dyDescent="0.25"/>
    <row r="46" spans="2:13" ht="30" customHeight="1" thickBot="1" x14ac:dyDescent="0.3">
      <c r="B46" s="63" t="s">
        <v>52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3" ht="30" customHeight="1" thickBot="1" x14ac:dyDescent="0.3">
      <c r="B47" s="24">
        <v>1</v>
      </c>
      <c r="C47" s="60" t="str">
        <f ca="1">IF(ISBLANK(INDIRECT(ADDRESS(B47*2+2,3))),"",INDIRECT(ADDRESS(B47*2+2,3)))</f>
        <v>Пелевина Наталья</v>
      </c>
      <c r="D47" s="60"/>
      <c r="E47" s="61"/>
      <c r="F47" s="25">
        <v>13</v>
      </c>
      <c r="G47" s="26">
        <v>12</v>
      </c>
      <c r="H47" s="62" t="str">
        <f ca="1">IF(ISBLANK(INDIRECT(ADDRESS(K47*2+2,3))),"",INDIRECT(ADDRESS(K47*2+2,3)))</f>
        <v>Иноземцева Анастасия</v>
      </c>
      <c r="I47" s="60"/>
      <c r="J47" s="60"/>
      <c r="K47" s="24">
        <v>6</v>
      </c>
      <c r="L47" s="27" t="s">
        <v>13</v>
      </c>
      <c r="M47" s="54"/>
    </row>
    <row r="48" spans="2:13" ht="30" customHeight="1" thickBot="1" x14ac:dyDescent="0.3">
      <c r="B48" s="24">
        <v>2</v>
      </c>
      <c r="C48" s="60" t="str">
        <f ca="1">IF(ISBLANK(INDIRECT(ADDRESS(B48*2+2,3))),"",INDIRECT(ADDRESS(B48*2+2,3)))</f>
        <v>Большакова Мария</v>
      </c>
      <c r="D48" s="60"/>
      <c r="E48" s="61"/>
      <c r="F48" s="25">
        <v>13</v>
      </c>
      <c r="G48" s="26">
        <v>10</v>
      </c>
      <c r="H48" s="62" t="str">
        <f ca="1">IF(ISBLANK(INDIRECT(ADDRESS(K48*2+2,3))),"",INDIRECT(ADDRESS(K48*2+2,3)))</f>
        <v>Лебедева Елена</v>
      </c>
      <c r="I48" s="60"/>
      <c r="J48" s="60"/>
      <c r="K48" s="24">
        <v>5</v>
      </c>
      <c r="L48" s="27" t="s">
        <v>13</v>
      </c>
      <c r="M48" s="54"/>
    </row>
    <row r="49" spans="2:13" ht="30" customHeight="1" thickBot="1" x14ac:dyDescent="0.3">
      <c r="B49" s="24">
        <v>3</v>
      </c>
      <c r="C49" s="60" t="str">
        <f ca="1">IF(ISBLANK(INDIRECT(ADDRESS(B49*2+2,3))),"",INDIRECT(ADDRESS(B49*2+2,3)))</f>
        <v>Пелевина Вера</v>
      </c>
      <c r="D49" s="60"/>
      <c r="E49" s="61"/>
      <c r="F49" s="25">
        <v>5</v>
      </c>
      <c r="G49" s="26">
        <v>13</v>
      </c>
      <c r="H49" s="62" t="str">
        <f ca="1">IF(ISBLANK(INDIRECT(ADDRESS(K49*2+2,3))),"",INDIRECT(ADDRESS(K49*2+2,3)))</f>
        <v>Елсакова Оксана</v>
      </c>
      <c r="I49" s="60"/>
      <c r="J49" s="60"/>
      <c r="K49" s="24">
        <v>4</v>
      </c>
      <c r="L49" s="27" t="s">
        <v>13</v>
      </c>
      <c r="M49" s="54"/>
    </row>
    <row r="50" spans="2:13" ht="30" customHeight="1" x14ac:dyDescent="0.25"/>
    <row r="51" spans="2:13" ht="30" customHeight="1" thickBot="1" x14ac:dyDescent="0.3">
      <c r="B51" s="63" t="s">
        <v>53</v>
      </c>
      <c r="C51" s="63"/>
      <c r="D51" s="63"/>
      <c r="E51" s="63"/>
      <c r="F51" s="63"/>
      <c r="G51" s="63"/>
      <c r="H51" s="63"/>
      <c r="I51" s="63"/>
      <c r="J51" s="63"/>
      <c r="K51" s="63"/>
    </row>
    <row r="52" spans="2:13" ht="30" customHeight="1" thickBot="1" x14ac:dyDescent="0.3">
      <c r="B52" s="24">
        <v>5</v>
      </c>
      <c r="C52" s="60" t="str">
        <f ca="1">IF(ISBLANK(INDIRECT(ADDRESS(B52*2+2,3))),"",INDIRECT(ADDRESS(B52*2+2,3)))</f>
        <v>Лебедева Елена</v>
      </c>
      <c r="D52" s="60"/>
      <c r="E52" s="61"/>
      <c r="F52" s="25">
        <v>13</v>
      </c>
      <c r="G52" s="26">
        <v>9</v>
      </c>
      <c r="H52" s="62" t="str">
        <f ca="1">IF(ISBLANK(INDIRECT(ADDRESS(K52*2+2,3))),"",INDIRECT(ADDRESS(K52*2+2,3)))</f>
        <v>Пелевина Вера</v>
      </c>
      <c r="I52" s="60"/>
      <c r="J52" s="60"/>
      <c r="K52" s="24">
        <v>3</v>
      </c>
      <c r="L52" s="27" t="s">
        <v>13</v>
      </c>
      <c r="M52" s="54"/>
    </row>
    <row r="53" spans="2:13" ht="30" customHeight="1" thickBot="1" x14ac:dyDescent="0.3">
      <c r="B53" s="24">
        <v>6</v>
      </c>
      <c r="C53" s="60" t="str">
        <f ca="1">IF(ISBLANK(INDIRECT(ADDRESS(B53*2+2,3))),"",INDIRECT(ADDRESS(B53*2+2,3)))</f>
        <v>Иноземцева Анастасия</v>
      </c>
      <c r="D53" s="60"/>
      <c r="E53" s="61"/>
      <c r="F53" s="25">
        <v>8</v>
      </c>
      <c r="G53" s="26">
        <v>13</v>
      </c>
      <c r="H53" s="62" t="str">
        <f ca="1">IF(ISBLANK(INDIRECT(ADDRESS(K53*2+2,3))),"",INDIRECT(ADDRESS(K53*2+2,3)))</f>
        <v>Большакова Мария</v>
      </c>
      <c r="I53" s="60"/>
      <c r="J53" s="60"/>
      <c r="K53" s="24">
        <v>2</v>
      </c>
      <c r="L53" s="27" t="s">
        <v>13</v>
      </c>
      <c r="M53" s="54"/>
    </row>
    <row r="54" spans="2:13" ht="30" customHeight="1" thickBot="1" x14ac:dyDescent="0.3">
      <c r="B54" s="24">
        <v>7</v>
      </c>
      <c r="C54" s="60" t="str">
        <f ca="1">IF(ISBLANK(INDIRECT(ADDRESS(B54*2+2,3))),"",INDIRECT(ADDRESS(B54*2+2,3)))</f>
        <v>Елсакова Алена</v>
      </c>
      <c r="D54" s="60"/>
      <c r="E54" s="61"/>
      <c r="F54" s="25">
        <v>8</v>
      </c>
      <c r="G54" s="26">
        <v>13</v>
      </c>
      <c r="H54" s="62" t="str">
        <f ca="1">IF(ISBLANK(INDIRECT(ADDRESS(K54*2+2,3))),"",INDIRECT(ADDRESS(K54*2+2,3)))</f>
        <v>Пелевина Наталья</v>
      </c>
      <c r="I54" s="60"/>
      <c r="J54" s="60"/>
      <c r="K54" s="24">
        <v>1</v>
      </c>
      <c r="L54" s="27" t="s">
        <v>13</v>
      </c>
      <c r="M54" s="54"/>
    </row>
  </sheetData>
  <mergeCells count="79">
    <mergeCell ref="O4:O5"/>
    <mergeCell ref="B1:K1"/>
    <mergeCell ref="C3:E3"/>
    <mergeCell ref="B4:B5"/>
    <mergeCell ref="C4:E5"/>
    <mergeCell ref="M4:M5"/>
    <mergeCell ref="B6:B7"/>
    <mergeCell ref="C6:E7"/>
    <mergeCell ref="M6:M7"/>
    <mergeCell ref="O6:O7"/>
    <mergeCell ref="B8:B9"/>
    <mergeCell ref="C8:E9"/>
    <mergeCell ref="M8:M9"/>
    <mergeCell ref="O8:O9"/>
    <mergeCell ref="B10:B11"/>
    <mergeCell ref="C10:E11"/>
    <mergeCell ref="M10:M11"/>
    <mergeCell ref="O10:O11"/>
    <mergeCell ref="B12:B13"/>
    <mergeCell ref="C12:E13"/>
    <mergeCell ref="M12:M13"/>
    <mergeCell ref="O12:O13"/>
    <mergeCell ref="O14:O15"/>
    <mergeCell ref="B16:B17"/>
    <mergeCell ref="C16:E17"/>
    <mergeCell ref="M16:M17"/>
    <mergeCell ref="O16:O17"/>
    <mergeCell ref="C24:E24"/>
    <mergeCell ref="H24:J24"/>
    <mergeCell ref="B14:B15"/>
    <mergeCell ref="C14:E15"/>
    <mergeCell ref="M14:M15"/>
    <mergeCell ref="B21:K21"/>
    <mergeCell ref="C22:E22"/>
    <mergeCell ref="H22:J22"/>
    <mergeCell ref="C23:E23"/>
    <mergeCell ref="H23:J23"/>
    <mergeCell ref="C34:E34"/>
    <mergeCell ref="H34:J34"/>
    <mergeCell ref="B26:K26"/>
    <mergeCell ref="C27:E27"/>
    <mergeCell ref="H27:J27"/>
    <mergeCell ref="C28:E28"/>
    <mergeCell ref="H28:J28"/>
    <mergeCell ref="C29:E29"/>
    <mergeCell ref="H29:J29"/>
    <mergeCell ref="B31:K31"/>
    <mergeCell ref="C32:E32"/>
    <mergeCell ref="H32:J32"/>
    <mergeCell ref="C33:E33"/>
    <mergeCell ref="H33:J33"/>
    <mergeCell ref="C44:E44"/>
    <mergeCell ref="H44:J44"/>
    <mergeCell ref="B36:K36"/>
    <mergeCell ref="C37:E37"/>
    <mergeCell ref="H37:J37"/>
    <mergeCell ref="C38:E38"/>
    <mergeCell ref="H38:J38"/>
    <mergeCell ref="C39:E39"/>
    <mergeCell ref="H39:J39"/>
    <mergeCell ref="B41:K41"/>
    <mergeCell ref="C42:E42"/>
    <mergeCell ref="H42:J42"/>
    <mergeCell ref="C43:E43"/>
    <mergeCell ref="H43:J43"/>
    <mergeCell ref="C54:E54"/>
    <mergeCell ref="H54:J54"/>
    <mergeCell ref="B46:K46"/>
    <mergeCell ref="C47:E47"/>
    <mergeCell ref="H47:J47"/>
    <mergeCell ref="C48:E48"/>
    <mergeCell ref="H48:J48"/>
    <mergeCell ref="C49:E49"/>
    <mergeCell ref="H49:J49"/>
    <mergeCell ref="B51:K51"/>
    <mergeCell ref="C52:E52"/>
    <mergeCell ref="H52:J52"/>
    <mergeCell ref="C53:E53"/>
    <mergeCell ref="H53:J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Q14" sqref="Q14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2:15" ht="59.25" customHeight="1" x14ac:dyDescent="0.25">
      <c r="B1" s="84" t="s">
        <v>27</v>
      </c>
      <c r="C1" s="84"/>
      <c r="D1" s="84"/>
      <c r="E1" s="84"/>
      <c r="F1" s="84"/>
      <c r="G1" s="84"/>
      <c r="H1" s="84"/>
      <c r="I1" s="84"/>
      <c r="J1" s="84"/>
      <c r="K1" s="84"/>
      <c r="L1" t="s">
        <v>54</v>
      </c>
      <c r="M1" t="s">
        <v>40</v>
      </c>
      <c r="N1" s="30">
        <v>45304</v>
      </c>
    </row>
    <row r="2" spans="2:15" ht="15.75" thickBot="1" x14ac:dyDescent="0.3"/>
    <row r="3" spans="2:15" ht="30" customHeight="1" thickBot="1" x14ac:dyDescent="0.3">
      <c r="B3" s="2"/>
      <c r="C3" s="85" t="s">
        <v>0</v>
      </c>
      <c r="D3" s="86"/>
      <c r="E3" s="87"/>
      <c r="F3" s="3">
        <v>1</v>
      </c>
      <c r="G3" s="3">
        <v>2</v>
      </c>
      <c r="H3" s="3">
        <v>3</v>
      </c>
      <c r="I3" s="4">
        <v>4</v>
      </c>
      <c r="J3" s="4">
        <v>5</v>
      </c>
      <c r="K3" s="4">
        <v>6</v>
      </c>
      <c r="L3" s="31">
        <v>7</v>
      </c>
      <c r="M3" s="5" t="s">
        <v>1</v>
      </c>
      <c r="N3" s="3" t="s">
        <v>2</v>
      </c>
      <c r="O3" s="6" t="s">
        <v>3</v>
      </c>
    </row>
    <row r="4" spans="2:15" ht="24" customHeight="1" x14ac:dyDescent="0.25">
      <c r="B4" s="88">
        <v>1</v>
      </c>
      <c r="C4" s="89" t="s">
        <v>62</v>
      </c>
      <c r="D4" s="90"/>
      <c r="E4" s="91"/>
      <c r="F4" s="7"/>
      <c r="G4" s="8" t="str">
        <f ca="1">INDIRECT(ADDRESS(29,6))&amp;":"&amp;INDIRECT(ADDRESS(29,7))</f>
        <v>12:10</v>
      </c>
      <c r="H4" s="8" t="str">
        <f ca="1">INDIRECT(ADDRESS(32,7))&amp;":"&amp;INDIRECT(ADDRESS(32,6))</f>
        <v>13:4</v>
      </c>
      <c r="I4" s="8" t="str">
        <f ca="1">INDIRECT(ADDRESS(38,6))&amp;":"&amp;INDIRECT(ADDRESS(38,7))</f>
        <v>13:5</v>
      </c>
      <c r="J4" s="8" t="str">
        <f ca="1">INDIRECT(ADDRESS(43,7))&amp;":"&amp;INDIRECT(ADDRESS(43,6))</f>
        <v>13:8</v>
      </c>
      <c r="K4" s="42" t="str">
        <f ca="1">INDIRECT(ADDRESS(47,6))&amp;":"&amp;INDIRECT(ADDRESS(47,7))</f>
        <v>13:4</v>
      </c>
      <c r="L4" s="9" t="str">
        <f ca="1">INDIRECT(ADDRESS(54,7))&amp;":"&amp;INDIRECT(ADDRESS(54,6))</f>
        <v>13:2</v>
      </c>
      <c r="M4" s="122">
        <f ca="1">IF(COUNT(F5:L5)=0,"",COUNTIF(F5:L5,"&gt;0")+0.5*COUNTIF(F5:L5,0))</f>
        <v>6</v>
      </c>
      <c r="N4" s="10"/>
      <c r="O4" s="121">
        <v>1</v>
      </c>
    </row>
    <row r="5" spans="2:15" ht="24" customHeight="1" x14ac:dyDescent="0.25">
      <c r="B5" s="76"/>
      <c r="C5" s="78"/>
      <c r="D5" s="79"/>
      <c r="E5" s="80"/>
      <c r="F5" s="11"/>
      <c r="G5" s="12">
        <f ca="1">IF(LEN(INDIRECT(ADDRESS(ROW()-1, COLUMN())))=1,"",INDIRECT(ADDRESS(29,6))-INDIRECT(ADDRESS(29,7)))</f>
        <v>2</v>
      </c>
      <c r="H5" s="12">
        <f ca="1">IF(LEN(INDIRECT(ADDRESS(ROW()-1, COLUMN())))=1,"",INDIRECT(ADDRESS(32,7))-INDIRECT(ADDRESS(32,6)))</f>
        <v>9</v>
      </c>
      <c r="I5" s="12">
        <f ca="1">IF(LEN(INDIRECT(ADDRESS(ROW()-1, COLUMN())))=1,"",INDIRECT(ADDRESS(38,6))-INDIRECT(ADDRESS(38,7)))</f>
        <v>8</v>
      </c>
      <c r="J5" s="12">
        <f ca="1">IF(LEN(INDIRECT(ADDRESS(ROW()-1, COLUMN())))=1,"",INDIRECT(ADDRESS(43,7))-INDIRECT(ADDRESS(43,6)))</f>
        <v>5</v>
      </c>
      <c r="K5" s="43">
        <f ca="1">IF(LEN(INDIRECT(ADDRESS(ROW()-1, COLUMN())))=1,"",INDIRECT(ADDRESS(47,6))-INDIRECT(ADDRESS(47,7)))</f>
        <v>9</v>
      </c>
      <c r="L5" s="13">
        <f ca="1">IF(LEN(INDIRECT(ADDRESS(ROW()-1, COLUMN())))=1,"",INDIRECT(ADDRESS(54,7))-INDIRECT(ADDRESS(54,6)))</f>
        <v>11</v>
      </c>
      <c r="M5" s="93"/>
      <c r="N5" s="12">
        <f ca="1">IF(COUNT(F5:L5)=0,"",SUM(F5:L5))</f>
        <v>44</v>
      </c>
      <c r="O5" s="77"/>
    </row>
    <row r="6" spans="2:15" ht="24" customHeight="1" x14ac:dyDescent="0.25">
      <c r="B6" s="64">
        <v>2</v>
      </c>
      <c r="C6" s="66" t="s">
        <v>63</v>
      </c>
      <c r="D6" s="67"/>
      <c r="E6" s="68"/>
      <c r="F6" s="14" t="str">
        <f ca="1">INDIRECT(ADDRESS(29,7))&amp;":"&amp;INDIRECT(ADDRESS(29,6))</f>
        <v>10:12</v>
      </c>
      <c r="G6" s="15"/>
      <c r="H6" s="16" t="str">
        <f ca="1">INDIRECT(ADDRESS(39,6))&amp;":"&amp;INDIRECT(ADDRESS(39,7))</f>
        <v>11:12</v>
      </c>
      <c r="I6" s="16" t="str">
        <f ca="1">INDIRECT(ADDRESS(42,7))&amp;":"&amp;INDIRECT(ADDRESS(42,6))</f>
        <v>13:7</v>
      </c>
      <c r="J6" s="16" t="str">
        <f ca="1">INDIRECT(ADDRESS(48,6))&amp;":"&amp;INDIRECT(ADDRESS(48,7))</f>
        <v>9:13</v>
      </c>
      <c r="K6" s="44" t="str">
        <f ca="1">INDIRECT(ADDRESS(53,7))&amp;":"&amp;INDIRECT(ADDRESS(53,6))</f>
        <v>13:5</v>
      </c>
      <c r="L6" s="17" t="str">
        <f ca="1">INDIRECT(ADDRESS(22,6))&amp;":"&amp;INDIRECT(ADDRESS(22,7))</f>
        <v>13:4</v>
      </c>
      <c r="M6" s="93">
        <f ca="1">IF(COUNT(F7:L7)=0,"",COUNTIF(F7:L7,"&gt;0")+0.5*COUNTIF(F7:L7,0))</f>
        <v>3</v>
      </c>
      <c r="N6" s="12"/>
      <c r="O6" s="74">
        <v>4</v>
      </c>
    </row>
    <row r="7" spans="2:15" ht="24" customHeight="1" x14ac:dyDescent="0.25">
      <c r="B7" s="76"/>
      <c r="C7" s="66"/>
      <c r="D7" s="67"/>
      <c r="E7" s="68"/>
      <c r="F7" s="18">
        <f ca="1">IF(LEN(INDIRECT(ADDRESS(ROW()-1, COLUMN())))=1,"",INDIRECT(ADDRESS(29,7))-INDIRECT(ADDRESS(29,6)))</f>
        <v>-2</v>
      </c>
      <c r="G7" s="19"/>
      <c r="H7" s="12">
        <f ca="1">IF(LEN(INDIRECT(ADDRESS(ROW()-1, COLUMN())))=1,"",INDIRECT(ADDRESS(39,6))-INDIRECT(ADDRESS(39,7)))</f>
        <v>-1</v>
      </c>
      <c r="I7" s="12">
        <f ca="1">IF(LEN(INDIRECT(ADDRESS(ROW()-1, COLUMN())))=1,"",INDIRECT(ADDRESS(42,7))-INDIRECT(ADDRESS(42,6)))</f>
        <v>6</v>
      </c>
      <c r="J7" s="12">
        <f ca="1">IF(LEN(INDIRECT(ADDRESS(ROW()-1, COLUMN())))=1,"",INDIRECT(ADDRESS(48,6))-INDIRECT(ADDRESS(48,7)))</f>
        <v>-4</v>
      </c>
      <c r="K7" s="43">
        <f ca="1">IF(LEN(INDIRECT(ADDRESS(ROW()-1, COLUMN())))=1,"",INDIRECT(ADDRESS(53,7))-INDIRECT(ADDRESS(53,6)))</f>
        <v>8</v>
      </c>
      <c r="L7" s="13">
        <f ca="1">IF(LEN(INDIRECT(ADDRESS(ROW()-1, COLUMN())))=1,"",INDIRECT(ADDRESS(22,6))-INDIRECT(ADDRESS(22,7)))</f>
        <v>9</v>
      </c>
      <c r="M7" s="93"/>
      <c r="N7" s="12">
        <f ca="1">IF(COUNT(F7:L7)=0,"",SUM(F7:L7))</f>
        <v>16</v>
      </c>
      <c r="O7" s="77"/>
    </row>
    <row r="8" spans="2:15" ht="24" customHeight="1" x14ac:dyDescent="0.25">
      <c r="B8" s="64">
        <v>3</v>
      </c>
      <c r="C8" s="66" t="s">
        <v>64</v>
      </c>
      <c r="D8" s="67"/>
      <c r="E8" s="68"/>
      <c r="F8" s="14" t="str">
        <f ca="1">INDIRECT(ADDRESS(32,6))&amp;":"&amp;INDIRECT(ADDRESS(32,7))</f>
        <v>4:13</v>
      </c>
      <c r="G8" s="16" t="str">
        <f ca="1">INDIRECT(ADDRESS(39,7))&amp;":"&amp;INDIRECT(ADDRESS(39,6))</f>
        <v>12:11</v>
      </c>
      <c r="H8" s="15"/>
      <c r="I8" s="16" t="str">
        <f ca="1">INDIRECT(ADDRESS(49,6))&amp;":"&amp;INDIRECT(ADDRESS(49,7))</f>
        <v>13:9</v>
      </c>
      <c r="J8" s="16" t="str">
        <f ca="1">INDIRECT(ADDRESS(52,7))&amp;":"&amp;INDIRECT(ADDRESS(52,6))</f>
        <v>3:13</v>
      </c>
      <c r="K8" s="44" t="str">
        <f ca="1">INDIRECT(ADDRESS(23,6))&amp;":"&amp;INDIRECT(ADDRESS(23,7))</f>
        <v>12:11</v>
      </c>
      <c r="L8" s="17" t="str">
        <f ca="1">INDIRECT(ADDRESS(28,7))&amp;":"&amp;INDIRECT(ADDRESS(28,6))</f>
        <v>13:2</v>
      </c>
      <c r="M8" s="93">
        <f ca="1">IF(COUNT(F9:L9)=0,"",COUNTIF(F9:L9,"&gt;0")+0.5*COUNTIF(F9:L9,0))</f>
        <v>4</v>
      </c>
      <c r="N8" s="12"/>
      <c r="O8" s="74">
        <v>3</v>
      </c>
    </row>
    <row r="9" spans="2:15" ht="24" customHeight="1" x14ac:dyDescent="0.25">
      <c r="B9" s="76"/>
      <c r="C9" s="66"/>
      <c r="D9" s="67"/>
      <c r="E9" s="68"/>
      <c r="F9" s="18">
        <f ca="1">IF(LEN(INDIRECT(ADDRESS(ROW()-1, COLUMN())))=1,"",INDIRECT(ADDRESS(32,6))-INDIRECT(ADDRESS(32,7)))</f>
        <v>-9</v>
      </c>
      <c r="G9" s="12">
        <f ca="1">IF(LEN(INDIRECT(ADDRESS(ROW()-1, COLUMN())))=1,"",INDIRECT(ADDRESS(39,7))-INDIRECT(ADDRESS(39,6)))</f>
        <v>1</v>
      </c>
      <c r="H9" s="19"/>
      <c r="I9" s="12">
        <f ca="1">IF(LEN(INDIRECT(ADDRESS(ROW()-1, COLUMN())))=1,"",INDIRECT(ADDRESS(49,6))-INDIRECT(ADDRESS(49,7)))</f>
        <v>4</v>
      </c>
      <c r="J9" s="12">
        <f ca="1">IF(LEN(INDIRECT(ADDRESS(ROW()-1, COLUMN())))=1,"",INDIRECT(ADDRESS(52,7))-INDIRECT(ADDRESS(52,6)))</f>
        <v>-10</v>
      </c>
      <c r="K9" s="43">
        <f ca="1">IF(LEN(INDIRECT(ADDRESS(ROW()-1, COLUMN())))=1,"",INDIRECT(ADDRESS(23,6))-INDIRECT(ADDRESS(23,7)))</f>
        <v>1</v>
      </c>
      <c r="L9" s="13">
        <f ca="1">IF(LEN(INDIRECT(ADDRESS(ROW()-1, COLUMN())))=1,"",INDIRECT(ADDRESS(28,7))-INDIRECT(ADDRESS(28,6)))</f>
        <v>11</v>
      </c>
      <c r="M9" s="93"/>
      <c r="N9" s="12">
        <f ca="1">IF(COUNT(F9:L9)=0,"",SUM(F9:L9))</f>
        <v>-2</v>
      </c>
      <c r="O9" s="77"/>
    </row>
    <row r="10" spans="2:15" ht="24" customHeight="1" x14ac:dyDescent="0.25">
      <c r="B10" s="64">
        <v>4</v>
      </c>
      <c r="C10" s="66" t="s">
        <v>65</v>
      </c>
      <c r="D10" s="67"/>
      <c r="E10" s="68"/>
      <c r="F10" s="14" t="str">
        <f ca="1">INDIRECT(ADDRESS(38,7))&amp;":"&amp;INDIRECT(ADDRESS(38,6))</f>
        <v>5:13</v>
      </c>
      <c r="G10" s="16" t="str">
        <f ca="1">INDIRECT(ADDRESS(42,6))&amp;":"&amp;INDIRECT(ADDRESS(42,7))</f>
        <v>7:13</v>
      </c>
      <c r="H10" s="16" t="str">
        <f ca="1">INDIRECT(ADDRESS(49,7))&amp;":"&amp;INDIRECT(ADDRESS(49,6))</f>
        <v>9:13</v>
      </c>
      <c r="I10" s="15"/>
      <c r="J10" s="16" t="str">
        <f ca="1">INDIRECT(ADDRESS(24,6))&amp;":"&amp;INDIRECT(ADDRESS(24,7))</f>
        <v>3:13</v>
      </c>
      <c r="K10" s="44" t="str">
        <f ca="1">INDIRECT(ADDRESS(27,7))&amp;":"&amp;INDIRECT(ADDRESS(27,6))</f>
        <v>13:8</v>
      </c>
      <c r="L10" s="17" t="str">
        <f ca="1">INDIRECT(ADDRESS(33,6))&amp;":"&amp;INDIRECT(ADDRESS(33,7))</f>
        <v>11:7</v>
      </c>
      <c r="M10" s="93">
        <f ca="1">IF(COUNT(F11:L11)=0,"",COUNTIF(F11:L11,"&gt;0")+0.5*COUNTIF(F11:L11,0))</f>
        <v>2</v>
      </c>
      <c r="N10" s="12"/>
      <c r="O10" s="74">
        <v>5</v>
      </c>
    </row>
    <row r="11" spans="2:15" ht="24" customHeight="1" x14ac:dyDescent="0.25">
      <c r="B11" s="76"/>
      <c r="C11" s="66"/>
      <c r="D11" s="67"/>
      <c r="E11" s="68"/>
      <c r="F11" s="18">
        <f ca="1">IF(LEN(INDIRECT(ADDRESS(ROW()-1, COLUMN())))=1,"",INDIRECT(ADDRESS(38,7))-INDIRECT(ADDRESS(38,6)))</f>
        <v>-8</v>
      </c>
      <c r="G11" s="12">
        <f ca="1">IF(LEN(INDIRECT(ADDRESS(ROW()-1, COLUMN())))=1,"",INDIRECT(ADDRESS(42,6))-INDIRECT(ADDRESS(42,7)))</f>
        <v>-6</v>
      </c>
      <c r="H11" s="12">
        <f ca="1">IF(LEN(INDIRECT(ADDRESS(ROW()-1, COLUMN())))=1,"",INDIRECT(ADDRESS(49,7))-INDIRECT(ADDRESS(49,6)))</f>
        <v>-4</v>
      </c>
      <c r="I11" s="19"/>
      <c r="J11" s="12">
        <f ca="1">IF(LEN(INDIRECT(ADDRESS(ROW()-1, COLUMN())))=1,"",INDIRECT(ADDRESS(24,6))-INDIRECT(ADDRESS(24,7)))</f>
        <v>-10</v>
      </c>
      <c r="K11" s="43">
        <f ca="1">IF(LEN(INDIRECT(ADDRESS(ROW()-1, COLUMN())))=1,"",INDIRECT(ADDRESS(27,7))-INDIRECT(ADDRESS(27,6)))</f>
        <v>5</v>
      </c>
      <c r="L11" s="13">
        <f ca="1">IF(LEN(INDIRECT(ADDRESS(ROW()-1, COLUMN())))=1,"",INDIRECT(ADDRESS(33,6))-INDIRECT(ADDRESS(33,7)))</f>
        <v>4</v>
      </c>
      <c r="M11" s="93"/>
      <c r="N11" s="12">
        <f ca="1">IF(COUNT(F11:L11)=0,"",SUM(F11:L11))</f>
        <v>-19</v>
      </c>
      <c r="O11" s="77"/>
    </row>
    <row r="12" spans="2:15" ht="24" customHeight="1" x14ac:dyDescent="0.25">
      <c r="B12" s="64">
        <v>5</v>
      </c>
      <c r="C12" s="78" t="s">
        <v>66</v>
      </c>
      <c r="D12" s="79"/>
      <c r="E12" s="80"/>
      <c r="F12" s="14" t="str">
        <f ca="1">INDIRECT(ADDRESS(43,6))&amp;":"&amp;INDIRECT(ADDRESS(43,7))</f>
        <v>8:13</v>
      </c>
      <c r="G12" s="16" t="str">
        <f ca="1">INDIRECT(ADDRESS(48,7))&amp;":"&amp;INDIRECT(ADDRESS(48,6))</f>
        <v>13:9</v>
      </c>
      <c r="H12" s="16" t="str">
        <f ca="1">INDIRECT(ADDRESS(52,6))&amp;":"&amp;INDIRECT(ADDRESS(52,7))</f>
        <v>13:3</v>
      </c>
      <c r="I12" s="16" t="str">
        <f ca="1">INDIRECT(ADDRESS(24,7))&amp;":"&amp;INDIRECT(ADDRESS(24,6))</f>
        <v>13:3</v>
      </c>
      <c r="J12" s="15"/>
      <c r="K12" s="44" t="str">
        <f ca="1">INDIRECT(ADDRESS(34,6))&amp;":"&amp;INDIRECT(ADDRESS(34,7))</f>
        <v>13:3</v>
      </c>
      <c r="L12" s="17" t="str">
        <f ca="1">INDIRECT(ADDRESS(37,7))&amp;":"&amp;INDIRECT(ADDRESS(37,6))</f>
        <v>13:9</v>
      </c>
      <c r="M12" s="93">
        <f ca="1">IF(COUNT(F13:L13)=0,"",COUNTIF(F13:L13,"&gt;0")+0.5*COUNTIF(F13:L13,0))</f>
        <v>5</v>
      </c>
      <c r="N12" s="12"/>
      <c r="O12" s="74">
        <v>2</v>
      </c>
    </row>
    <row r="13" spans="2:15" ht="24" customHeight="1" x14ac:dyDescent="0.25">
      <c r="B13" s="76"/>
      <c r="C13" s="78"/>
      <c r="D13" s="79"/>
      <c r="E13" s="80"/>
      <c r="F13" s="18">
        <f ca="1">IF(LEN(INDIRECT(ADDRESS(ROW()-1, COLUMN())))=1,"",INDIRECT(ADDRESS(43,6))-INDIRECT(ADDRESS(43,7)))</f>
        <v>-5</v>
      </c>
      <c r="G13" s="12">
        <f ca="1">IF(LEN(INDIRECT(ADDRESS(ROW()-1, COLUMN())))=1,"",INDIRECT(ADDRESS(48,7))-INDIRECT(ADDRESS(48,6)))</f>
        <v>4</v>
      </c>
      <c r="H13" s="12">
        <f ca="1">IF(LEN(INDIRECT(ADDRESS(ROW()-1, COLUMN())))=1,"",INDIRECT(ADDRESS(52,6))-INDIRECT(ADDRESS(52,7)))</f>
        <v>10</v>
      </c>
      <c r="I13" s="12">
        <f ca="1">IF(LEN(INDIRECT(ADDRESS(ROW()-1, COLUMN())))=1,"",INDIRECT(ADDRESS(24,7))-INDIRECT(ADDRESS(24,6)))</f>
        <v>10</v>
      </c>
      <c r="J13" s="19"/>
      <c r="K13" s="43">
        <f ca="1">IF(LEN(INDIRECT(ADDRESS(ROW()-1, COLUMN())))=1,"",INDIRECT(ADDRESS(34,6))-INDIRECT(ADDRESS(34,7)))</f>
        <v>10</v>
      </c>
      <c r="L13" s="13">
        <f ca="1">IF(LEN(INDIRECT(ADDRESS(ROW()-1, COLUMN())))=1,"",INDIRECT(ADDRESS(37,7))-INDIRECT(ADDRESS(37,6)))</f>
        <v>4</v>
      </c>
      <c r="M13" s="93"/>
      <c r="N13" s="12">
        <f ca="1">IF(COUNT(F13:L13)=0,"",SUM(F13:L13))</f>
        <v>33</v>
      </c>
      <c r="O13" s="77"/>
    </row>
    <row r="14" spans="2:15" ht="24" customHeight="1" x14ac:dyDescent="0.25">
      <c r="B14" s="64">
        <v>6</v>
      </c>
      <c r="C14" s="66" t="s">
        <v>67</v>
      </c>
      <c r="D14" s="67"/>
      <c r="E14" s="68"/>
      <c r="F14" s="14" t="str">
        <f ca="1">INDIRECT(ADDRESS(47,7))&amp;":"&amp;INDIRECT(ADDRESS(47,6))</f>
        <v>4:13</v>
      </c>
      <c r="G14" s="16" t="str">
        <f ca="1">INDIRECT(ADDRESS(53,6))&amp;":"&amp;INDIRECT(ADDRESS(53,7))</f>
        <v>5:13</v>
      </c>
      <c r="H14" s="16" t="str">
        <f ca="1">INDIRECT(ADDRESS(23,7))&amp;":"&amp;INDIRECT(ADDRESS(23,6))</f>
        <v>11:12</v>
      </c>
      <c r="I14" s="16" t="str">
        <f ca="1">INDIRECT(ADDRESS(27,6))&amp;":"&amp;INDIRECT(ADDRESS(27,7))</f>
        <v>8:13</v>
      </c>
      <c r="J14" s="16" t="str">
        <f ca="1">INDIRECT(ADDRESS(34,7))&amp;":"&amp;INDIRECT(ADDRESS(34,6))</f>
        <v>3:13</v>
      </c>
      <c r="K14" s="45"/>
      <c r="L14" s="17" t="str">
        <f ca="1">INDIRECT(ADDRESS(44,6))&amp;":"&amp;INDIRECT(ADDRESS(44,7))</f>
        <v>13:6</v>
      </c>
      <c r="M14" s="93">
        <f ca="1">IF(COUNT(F15:L15)=0,"",COUNTIF(F15:L15,"&gt;0")+0.5*COUNTIF(F15:L15,0))</f>
        <v>1</v>
      </c>
      <c r="N14" s="12"/>
      <c r="O14" s="74">
        <v>6</v>
      </c>
    </row>
    <row r="15" spans="2:15" ht="24" customHeight="1" x14ac:dyDescent="0.25">
      <c r="B15" s="76"/>
      <c r="C15" s="66"/>
      <c r="D15" s="67"/>
      <c r="E15" s="68"/>
      <c r="F15" s="18">
        <f ca="1">IF(LEN(INDIRECT(ADDRESS(ROW()-1, COLUMN())))=1,"",INDIRECT(ADDRESS(47,7))-INDIRECT(ADDRESS(47,6)))</f>
        <v>-9</v>
      </c>
      <c r="G15" s="12">
        <f ca="1">IF(LEN(INDIRECT(ADDRESS(ROW()-1, COLUMN())))=1,"",INDIRECT(ADDRESS(53,6))-INDIRECT(ADDRESS(53,7)))</f>
        <v>-8</v>
      </c>
      <c r="H15" s="12">
        <f ca="1">IF(LEN(INDIRECT(ADDRESS(ROW()-1, COLUMN())))=1,"",INDIRECT(ADDRESS(23,7))-INDIRECT(ADDRESS(23,6)))</f>
        <v>-1</v>
      </c>
      <c r="I15" s="12">
        <f ca="1">IF(LEN(INDIRECT(ADDRESS(ROW()-1, COLUMN())))=1,"",INDIRECT(ADDRESS(27,6))-INDIRECT(ADDRESS(27,7)))</f>
        <v>-5</v>
      </c>
      <c r="J15" s="12">
        <f ca="1">IF(LEN(INDIRECT(ADDRESS(ROW()-1, COLUMN())))=1,"",INDIRECT(ADDRESS(34,7))-INDIRECT(ADDRESS(34,6)))</f>
        <v>-10</v>
      </c>
      <c r="K15" s="46"/>
      <c r="L15" s="47">
        <f ca="1">IF(LEN(INDIRECT(ADDRESS(ROW()-1, COLUMN())))=1,"",INDIRECT(ADDRESS(44,6))-INDIRECT(ADDRESS(44,7)))</f>
        <v>7</v>
      </c>
      <c r="M15" s="93"/>
      <c r="N15" s="12">
        <f ca="1">IF(COUNT(F15:L15)=0,"",SUM(F15:L15))</f>
        <v>-26</v>
      </c>
      <c r="O15" s="77"/>
    </row>
    <row r="16" spans="2:15" ht="24" customHeight="1" x14ac:dyDescent="0.25">
      <c r="B16" s="116">
        <v>7</v>
      </c>
      <c r="C16" s="123" t="s">
        <v>68</v>
      </c>
      <c r="D16" s="124"/>
      <c r="E16" s="125"/>
      <c r="F16" s="48" t="str">
        <f ca="1">INDIRECT(ADDRESS(54,6))&amp;":"&amp;INDIRECT(ADDRESS(54,7))</f>
        <v>2:13</v>
      </c>
      <c r="G16" s="49" t="str">
        <f ca="1">INDIRECT(ADDRESS(22,7))&amp;":"&amp;INDIRECT(ADDRESS(22,6))</f>
        <v>4:13</v>
      </c>
      <c r="H16" s="49" t="str">
        <f ca="1">INDIRECT(ADDRESS(28,6))&amp;":"&amp;INDIRECT(ADDRESS(28,7))</f>
        <v>2:13</v>
      </c>
      <c r="I16" s="49" t="str">
        <f ca="1">INDIRECT(ADDRESS(33,7))&amp;":"&amp;INDIRECT(ADDRESS(33,6))</f>
        <v>7:11</v>
      </c>
      <c r="J16" s="49" t="str">
        <f ca="1">INDIRECT(ADDRESS(37,6))&amp;":"&amp;INDIRECT(ADDRESS(37,7))</f>
        <v>9:13</v>
      </c>
      <c r="K16" s="50" t="str">
        <f ca="1">INDIRECT(ADDRESS(44,7))&amp;":"&amp;INDIRECT(ADDRESS(44,6))</f>
        <v>6:13</v>
      </c>
      <c r="L16" s="51"/>
      <c r="M16" s="93">
        <f ca="1">IF(COUNT(F17:L17)=0,"",COUNTIF(F17:L17,"&gt;0")+0.5*COUNTIF(F17:L17,0))</f>
        <v>0</v>
      </c>
      <c r="N16" s="52"/>
      <c r="O16" s="120">
        <v>7</v>
      </c>
    </row>
    <row r="17" spans="2:15" ht="24" customHeight="1" thickBot="1" x14ac:dyDescent="0.3">
      <c r="B17" s="65"/>
      <c r="C17" s="69"/>
      <c r="D17" s="70"/>
      <c r="E17" s="71"/>
      <c r="F17" s="21">
        <f ca="1">IF(LEN(INDIRECT(ADDRESS(ROW()-1, COLUMN())))=1,"",INDIRECT(ADDRESS(54,6))-INDIRECT(ADDRESS(54,7)))</f>
        <v>-11</v>
      </c>
      <c r="G17" s="22">
        <f ca="1">IF(LEN(INDIRECT(ADDRESS(ROW()-1, COLUMN())))=1,"",INDIRECT(ADDRESS(22,7))-INDIRECT(ADDRESS(22,6)))</f>
        <v>-9</v>
      </c>
      <c r="H17" s="22">
        <f ca="1">IF(LEN(INDIRECT(ADDRESS(ROW()-1, COLUMN())))=1,"",INDIRECT(ADDRESS(28,6))-INDIRECT(ADDRESS(28,7)))</f>
        <v>-11</v>
      </c>
      <c r="I17" s="22">
        <f ca="1">IF(LEN(INDIRECT(ADDRESS(ROW()-1, COLUMN())))=1,"",INDIRECT(ADDRESS(33,7))-INDIRECT(ADDRESS(33,6)))</f>
        <v>-4</v>
      </c>
      <c r="J17" s="22">
        <f ca="1">IF(LEN(INDIRECT(ADDRESS(ROW()-1, COLUMN())))=1,"",INDIRECT(ADDRESS(37,6))-INDIRECT(ADDRESS(37,7)))</f>
        <v>-4</v>
      </c>
      <c r="K17" s="53">
        <f ca="1">IF(LEN(INDIRECT(ADDRESS(ROW()-1, COLUMN())))=1,"",INDIRECT(ADDRESS(44,7))-INDIRECT(ADDRESS(44,6)))</f>
        <v>-7</v>
      </c>
      <c r="L17" s="23"/>
      <c r="M17" s="95"/>
      <c r="N17" s="22">
        <f ca="1">IF(COUNT(F17:L17)=0,"",SUM(F17:L17))</f>
        <v>-46</v>
      </c>
      <c r="O17" s="75"/>
    </row>
    <row r="21" spans="2:15" ht="30" customHeight="1" thickBot="1" x14ac:dyDescent="0.3">
      <c r="B21" s="63" t="s">
        <v>12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2:15" ht="30" customHeight="1" thickBot="1" x14ac:dyDescent="0.3">
      <c r="B22" s="24">
        <v>2</v>
      </c>
      <c r="C22" s="60" t="str">
        <f ca="1">IF(ISBLANK(INDIRECT(ADDRESS(B22*2+2,3))),"",INDIRECT(ADDRESS(B22*2+2,3)))</f>
        <v>Иванова Ольга</v>
      </c>
      <c r="D22" s="60"/>
      <c r="E22" s="61"/>
      <c r="F22" s="25">
        <v>13</v>
      </c>
      <c r="G22" s="26">
        <v>4</v>
      </c>
      <c r="H22" s="62" t="str">
        <f ca="1">IF(ISBLANK(INDIRECT(ADDRESS(K22*2+2,3))),"",INDIRECT(ADDRESS(K22*2+2,3)))</f>
        <v>Пашина Аля</v>
      </c>
      <c r="I22" s="60"/>
      <c r="J22" s="60"/>
      <c r="K22" s="24">
        <v>7</v>
      </c>
      <c r="L22" s="27" t="s">
        <v>13</v>
      </c>
      <c r="M22" s="54"/>
    </row>
    <row r="23" spans="2:15" ht="30" customHeight="1" thickBot="1" x14ac:dyDescent="0.3">
      <c r="B23" s="24">
        <v>3</v>
      </c>
      <c r="C23" s="60" t="str">
        <f ca="1">IF(ISBLANK(INDIRECT(ADDRESS(B23*2+2,3))),"",INDIRECT(ADDRESS(B23*2+2,3)))</f>
        <v>Гедройц Ася</v>
      </c>
      <c r="D23" s="60"/>
      <c r="E23" s="61"/>
      <c r="F23" s="25">
        <v>12</v>
      </c>
      <c r="G23" s="26">
        <v>11</v>
      </c>
      <c r="H23" s="62" t="str">
        <f ca="1">IF(ISBLANK(INDIRECT(ADDRESS(K23*2+2,3))),"",INDIRECT(ADDRESS(K23*2+2,3)))</f>
        <v>Писарева Екатерина</v>
      </c>
      <c r="I23" s="60"/>
      <c r="J23" s="60"/>
      <c r="K23" s="24">
        <v>6</v>
      </c>
      <c r="L23" s="27" t="s">
        <v>13</v>
      </c>
      <c r="M23" s="54"/>
    </row>
    <row r="24" spans="2:15" ht="30" customHeight="1" thickBot="1" x14ac:dyDescent="0.3">
      <c r="B24" s="24">
        <v>4</v>
      </c>
      <c r="C24" s="60" t="str">
        <f ca="1">IF(ISBLANK(INDIRECT(ADDRESS(B24*2+2,3))),"",INDIRECT(ADDRESS(B24*2+2,3)))</f>
        <v>Зимина Светлана</v>
      </c>
      <c r="D24" s="60"/>
      <c r="E24" s="61"/>
      <c r="F24" s="25">
        <v>3</v>
      </c>
      <c r="G24" s="26">
        <v>13</v>
      </c>
      <c r="H24" s="62" t="str">
        <f ca="1">IF(ISBLANK(INDIRECT(ADDRESS(K24*2+2,3))),"",INDIRECT(ADDRESS(K24*2+2,3)))</f>
        <v>Орлова Таисия</v>
      </c>
      <c r="I24" s="60"/>
      <c r="J24" s="60"/>
      <c r="K24" s="24">
        <v>5</v>
      </c>
      <c r="L24" s="27" t="s">
        <v>13</v>
      </c>
      <c r="M24" s="54"/>
    </row>
    <row r="25" spans="2:15" ht="30" customHeight="1" x14ac:dyDescent="0.25"/>
    <row r="26" spans="2:15" ht="30" customHeight="1" thickBot="1" x14ac:dyDescent="0.3">
      <c r="B26" s="63" t="s">
        <v>14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2:15" ht="30" customHeight="1" thickBot="1" x14ac:dyDescent="0.3">
      <c r="B27" s="24">
        <v>6</v>
      </c>
      <c r="C27" s="60" t="str">
        <f ca="1">IF(ISBLANK(INDIRECT(ADDRESS(B27*2+2,3))),"",INDIRECT(ADDRESS(B27*2+2,3)))</f>
        <v>Писарева Екатерина</v>
      </c>
      <c r="D27" s="60"/>
      <c r="E27" s="61"/>
      <c r="F27" s="25">
        <v>8</v>
      </c>
      <c r="G27" s="26">
        <v>13</v>
      </c>
      <c r="H27" s="62" t="str">
        <f ca="1">IF(ISBLANK(INDIRECT(ADDRESS(K27*2+2,3))),"",INDIRECT(ADDRESS(K27*2+2,3)))</f>
        <v>Зимина Светлана</v>
      </c>
      <c r="I27" s="60"/>
      <c r="J27" s="60"/>
      <c r="K27" s="24">
        <v>4</v>
      </c>
      <c r="L27" s="27" t="s">
        <v>13</v>
      </c>
      <c r="M27" s="54"/>
    </row>
    <row r="28" spans="2:15" ht="30" customHeight="1" thickBot="1" x14ac:dyDescent="0.3">
      <c r="B28" s="24">
        <v>7</v>
      </c>
      <c r="C28" s="60" t="str">
        <f ca="1">IF(ISBLANK(INDIRECT(ADDRESS(B28*2+2,3))),"",INDIRECT(ADDRESS(B28*2+2,3)))</f>
        <v>Пашина Аля</v>
      </c>
      <c r="D28" s="60"/>
      <c r="E28" s="61"/>
      <c r="F28" s="25">
        <v>2</v>
      </c>
      <c r="G28" s="26">
        <v>13</v>
      </c>
      <c r="H28" s="62" t="str">
        <f ca="1">IF(ISBLANK(INDIRECT(ADDRESS(K28*2+2,3))),"",INDIRECT(ADDRESS(K28*2+2,3)))</f>
        <v>Гедройц Ася</v>
      </c>
      <c r="I28" s="60"/>
      <c r="J28" s="60"/>
      <c r="K28" s="24">
        <v>3</v>
      </c>
      <c r="L28" s="27" t="s">
        <v>13</v>
      </c>
      <c r="M28" s="54"/>
    </row>
    <row r="29" spans="2:15" ht="30" customHeight="1" thickBot="1" x14ac:dyDescent="0.3">
      <c r="B29" s="24">
        <v>1</v>
      </c>
      <c r="C29" s="60" t="str">
        <f ca="1">IF(ISBLANK(INDIRECT(ADDRESS(B29*2+2,3))),"",INDIRECT(ADDRESS(B29*2+2,3)))</f>
        <v>Соколова Ольга</v>
      </c>
      <c r="D29" s="60"/>
      <c r="E29" s="61"/>
      <c r="F29" s="25">
        <v>12</v>
      </c>
      <c r="G29" s="26">
        <v>10</v>
      </c>
      <c r="H29" s="62" t="str">
        <f ca="1">IF(ISBLANK(INDIRECT(ADDRESS(K29*2+2,3))),"",INDIRECT(ADDRESS(K29*2+2,3)))</f>
        <v>Иванова Ольга</v>
      </c>
      <c r="I29" s="60"/>
      <c r="J29" s="60"/>
      <c r="K29" s="24">
        <v>2</v>
      </c>
      <c r="L29" s="27" t="s">
        <v>13</v>
      </c>
      <c r="M29" s="54"/>
    </row>
    <row r="30" spans="2:15" ht="30" customHeight="1" x14ac:dyDescent="0.25"/>
    <row r="31" spans="2:15" ht="30" customHeight="1" thickBot="1" x14ac:dyDescent="0.3">
      <c r="B31" s="63" t="s">
        <v>15</v>
      </c>
      <c r="C31" s="63"/>
      <c r="D31" s="63"/>
      <c r="E31" s="63"/>
      <c r="F31" s="63"/>
      <c r="G31" s="63"/>
      <c r="H31" s="63"/>
      <c r="I31" s="63"/>
      <c r="J31" s="63"/>
      <c r="K31" s="63"/>
    </row>
    <row r="32" spans="2:15" ht="30" customHeight="1" thickBot="1" x14ac:dyDescent="0.3">
      <c r="B32" s="24">
        <v>3</v>
      </c>
      <c r="C32" s="60" t="str">
        <f ca="1">IF(ISBLANK(INDIRECT(ADDRESS(B32*2+2,3))),"",INDIRECT(ADDRESS(B32*2+2,3)))</f>
        <v>Гедройц Ася</v>
      </c>
      <c r="D32" s="60"/>
      <c r="E32" s="61"/>
      <c r="F32" s="25">
        <v>4</v>
      </c>
      <c r="G32" s="26">
        <v>13</v>
      </c>
      <c r="H32" s="62" t="str">
        <f ca="1">IF(ISBLANK(INDIRECT(ADDRESS(K32*2+2,3))),"",INDIRECT(ADDRESS(K32*2+2,3)))</f>
        <v>Соколова Ольга</v>
      </c>
      <c r="I32" s="60"/>
      <c r="J32" s="60"/>
      <c r="K32" s="24">
        <v>1</v>
      </c>
      <c r="L32" s="27" t="s">
        <v>13</v>
      </c>
      <c r="M32" s="54"/>
    </row>
    <row r="33" spans="2:13" ht="30" customHeight="1" thickBot="1" x14ac:dyDescent="0.3">
      <c r="B33" s="24">
        <v>4</v>
      </c>
      <c r="C33" s="60" t="str">
        <f ca="1">IF(ISBLANK(INDIRECT(ADDRESS(B33*2+2,3))),"",INDIRECT(ADDRESS(B33*2+2,3)))</f>
        <v>Зимина Светлана</v>
      </c>
      <c r="D33" s="60"/>
      <c r="E33" s="61"/>
      <c r="F33" s="25">
        <v>11</v>
      </c>
      <c r="G33" s="26">
        <v>7</v>
      </c>
      <c r="H33" s="62" t="str">
        <f ca="1">IF(ISBLANK(INDIRECT(ADDRESS(K33*2+2,3))),"",INDIRECT(ADDRESS(K33*2+2,3)))</f>
        <v>Пашина Аля</v>
      </c>
      <c r="I33" s="60"/>
      <c r="J33" s="60"/>
      <c r="K33" s="24">
        <v>7</v>
      </c>
      <c r="L33" s="27" t="s">
        <v>13</v>
      </c>
      <c r="M33" s="54"/>
    </row>
    <row r="34" spans="2:13" ht="30" customHeight="1" thickBot="1" x14ac:dyDescent="0.3">
      <c r="B34" s="24">
        <v>5</v>
      </c>
      <c r="C34" s="60" t="str">
        <f ca="1">IF(ISBLANK(INDIRECT(ADDRESS(B34*2+2,3))),"",INDIRECT(ADDRESS(B34*2+2,3)))</f>
        <v>Орлова Таисия</v>
      </c>
      <c r="D34" s="60"/>
      <c r="E34" s="61"/>
      <c r="F34" s="25">
        <v>13</v>
      </c>
      <c r="G34" s="26">
        <v>3</v>
      </c>
      <c r="H34" s="62" t="str">
        <f ca="1">IF(ISBLANK(INDIRECT(ADDRESS(K34*2+2,3))),"",INDIRECT(ADDRESS(K34*2+2,3)))</f>
        <v>Писарева Екатерина</v>
      </c>
      <c r="I34" s="60"/>
      <c r="J34" s="60"/>
      <c r="K34" s="24">
        <v>6</v>
      </c>
      <c r="L34" s="27" t="s">
        <v>13</v>
      </c>
      <c r="M34" s="54"/>
    </row>
    <row r="35" spans="2:13" ht="30" customHeight="1" x14ac:dyDescent="0.25"/>
    <row r="36" spans="2:13" ht="30" customHeight="1" thickBot="1" x14ac:dyDescent="0.3">
      <c r="B36" s="63" t="s">
        <v>16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2:13" ht="30" customHeight="1" thickBot="1" x14ac:dyDescent="0.3">
      <c r="B37" s="24">
        <v>7</v>
      </c>
      <c r="C37" s="60" t="str">
        <f ca="1">IF(ISBLANK(INDIRECT(ADDRESS(B37*2+2,3))),"",INDIRECT(ADDRESS(B37*2+2,3)))</f>
        <v>Пашина Аля</v>
      </c>
      <c r="D37" s="60"/>
      <c r="E37" s="61"/>
      <c r="F37" s="25">
        <v>9</v>
      </c>
      <c r="G37" s="26">
        <v>13</v>
      </c>
      <c r="H37" s="62" t="str">
        <f ca="1">IF(ISBLANK(INDIRECT(ADDRESS(K37*2+2,3))),"",INDIRECT(ADDRESS(K37*2+2,3)))</f>
        <v>Орлова Таисия</v>
      </c>
      <c r="I37" s="60"/>
      <c r="J37" s="60"/>
      <c r="K37" s="24">
        <v>5</v>
      </c>
      <c r="L37" s="27" t="s">
        <v>13</v>
      </c>
      <c r="M37" s="54"/>
    </row>
    <row r="38" spans="2:13" ht="30" customHeight="1" thickBot="1" x14ac:dyDescent="0.3">
      <c r="B38" s="24">
        <v>1</v>
      </c>
      <c r="C38" s="60" t="str">
        <f ca="1">IF(ISBLANK(INDIRECT(ADDRESS(B38*2+2,3))),"",INDIRECT(ADDRESS(B38*2+2,3)))</f>
        <v>Соколова Ольга</v>
      </c>
      <c r="D38" s="60"/>
      <c r="E38" s="61"/>
      <c r="F38" s="25">
        <v>13</v>
      </c>
      <c r="G38" s="26">
        <v>5</v>
      </c>
      <c r="H38" s="62" t="str">
        <f ca="1">IF(ISBLANK(INDIRECT(ADDRESS(K38*2+2,3))),"",INDIRECT(ADDRESS(K38*2+2,3)))</f>
        <v>Зимина Светлана</v>
      </c>
      <c r="I38" s="60"/>
      <c r="J38" s="60"/>
      <c r="K38" s="24">
        <v>4</v>
      </c>
      <c r="L38" s="27" t="s">
        <v>13</v>
      </c>
      <c r="M38" s="54"/>
    </row>
    <row r="39" spans="2:13" ht="30" customHeight="1" thickBot="1" x14ac:dyDescent="0.3">
      <c r="B39" s="24">
        <v>2</v>
      </c>
      <c r="C39" s="60" t="str">
        <f ca="1">IF(ISBLANK(INDIRECT(ADDRESS(B39*2+2,3))),"",INDIRECT(ADDRESS(B39*2+2,3)))</f>
        <v>Иванова Ольга</v>
      </c>
      <c r="D39" s="60"/>
      <c r="E39" s="61"/>
      <c r="F39" s="25">
        <v>11</v>
      </c>
      <c r="G39" s="26">
        <v>12</v>
      </c>
      <c r="H39" s="62" t="str">
        <f ca="1">IF(ISBLANK(INDIRECT(ADDRESS(K39*2+2,3))),"",INDIRECT(ADDRESS(K39*2+2,3)))</f>
        <v>Гедройц Ася</v>
      </c>
      <c r="I39" s="60"/>
      <c r="J39" s="60"/>
      <c r="K39" s="24">
        <v>3</v>
      </c>
      <c r="L39" s="27" t="s">
        <v>13</v>
      </c>
      <c r="M39" s="54"/>
    </row>
    <row r="40" spans="2:13" ht="30" customHeight="1" x14ac:dyDescent="0.25"/>
    <row r="41" spans="2:13" ht="30" customHeight="1" thickBot="1" x14ac:dyDescent="0.3">
      <c r="B41" s="63" t="s">
        <v>17</v>
      </c>
      <c r="C41" s="63"/>
      <c r="D41" s="63"/>
      <c r="E41" s="63"/>
      <c r="F41" s="63"/>
      <c r="G41" s="63"/>
      <c r="H41" s="63"/>
      <c r="I41" s="63"/>
      <c r="J41" s="63"/>
      <c r="K41" s="63"/>
    </row>
    <row r="42" spans="2:13" ht="30" customHeight="1" thickBot="1" x14ac:dyDescent="0.3">
      <c r="B42" s="24">
        <v>4</v>
      </c>
      <c r="C42" s="60" t="str">
        <f ca="1">IF(ISBLANK(INDIRECT(ADDRESS(B42*2+2,3))),"",INDIRECT(ADDRESS(B42*2+2,3)))</f>
        <v>Зимина Светлана</v>
      </c>
      <c r="D42" s="60"/>
      <c r="E42" s="61"/>
      <c r="F42" s="25">
        <v>7</v>
      </c>
      <c r="G42" s="26">
        <v>13</v>
      </c>
      <c r="H42" s="62" t="str">
        <f ca="1">IF(ISBLANK(INDIRECT(ADDRESS(K42*2+2,3))),"",INDIRECT(ADDRESS(K42*2+2,3)))</f>
        <v>Иванова Ольга</v>
      </c>
      <c r="I42" s="60"/>
      <c r="J42" s="60"/>
      <c r="K42" s="24">
        <v>2</v>
      </c>
      <c r="L42" s="27" t="s">
        <v>13</v>
      </c>
      <c r="M42" s="54"/>
    </row>
    <row r="43" spans="2:13" ht="30" customHeight="1" thickBot="1" x14ac:dyDescent="0.3">
      <c r="B43" s="24">
        <v>5</v>
      </c>
      <c r="C43" s="60" t="str">
        <f ca="1">IF(ISBLANK(INDIRECT(ADDRESS(B43*2+2,3))),"",INDIRECT(ADDRESS(B43*2+2,3)))</f>
        <v>Орлова Таисия</v>
      </c>
      <c r="D43" s="60"/>
      <c r="E43" s="61"/>
      <c r="F43" s="25">
        <v>8</v>
      </c>
      <c r="G43" s="26">
        <v>13</v>
      </c>
      <c r="H43" s="62" t="str">
        <f ca="1">IF(ISBLANK(INDIRECT(ADDRESS(K43*2+2,3))),"",INDIRECT(ADDRESS(K43*2+2,3)))</f>
        <v>Соколова Ольга</v>
      </c>
      <c r="I43" s="60"/>
      <c r="J43" s="60"/>
      <c r="K43" s="24">
        <v>1</v>
      </c>
      <c r="L43" s="27" t="s">
        <v>13</v>
      </c>
      <c r="M43" s="54"/>
    </row>
    <row r="44" spans="2:13" ht="30" customHeight="1" thickBot="1" x14ac:dyDescent="0.3">
      <c r="B44" s="24">
        <v>6</v>
      </c>
      <c r="C44" s="60" t="str">
        <f ca="1">IF(ISBLANK(INDIRECT(ADDRESS(B44*2+2,3))),"",INDIRECT(ADDRESS(B44*2+2,3)))</f>
        <v>Писарева Екатерина</v>
      </c>
      <c r="D44" s="60"/>
      <c r="E44" s="61"/>
      <c r="F44" s="25">
        <v>13</v>
      </c>
      <c r="G44" s="26">
        <v>6</v>
      </c>
      <c r="H44" s="62" t="str">
        <f ca="1">IF(ISBLANK(INDIRECT(ADDRESS(K44*2+2,3))),"",INDIRECT(ADDRESS(K44*2+2,3)))</f>
        <v>Пашина Аля</v>
      </c>
      <c r="I44" s="60"/>
      <c r="J44" s="60"/>
      <c r="K44" s="24">
        <v>7</v>
      </c>
      <c r="L44" s="27" t="s">
        <v>13</v>
      </c>
      <c r="M44" s="54"/>
    </row>
    <row r="45" spans="2:13" ht="30" customHeight="1" x14ac:dyDescent="0.25"/>
    <row r="46" spans="2:13" ht="30" customHeight="1" thickBot="1" x14ac:dyDescent="0.3">
      <c r="B46" s="63" t="s">
        <v>52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2:13" ht="30" customHeight="1" thickBot="1" x14ac:dyDescent="0.3">
      <c r="B47" s="24">
        <v>1</v>
      </c>
      <c r="C47" s="60" t="str">
        <f ca="1">IF(ISBLANK(INDIRECT(ADDRESS(B47*2+2,3))),"",INDIRECT(ADDRESS(B47*2+2,3)))</f>
        <v>Соколова Ольга</v>
      </c>
      <c r="D47" s="60"/>
      <c r="E47" s="61"/>
      <c r="F47" s="25">
        <v>13</v>
      </c>
      <c r="G47" s="26">
        <v>4</v>
      </c>
      <c r="H47" s="62" t="str">
        <f ca="1">IF(ISBLANK(INDIRECT(ADDRESS(K47*2+2,3))),"",INDIRECT(ADDRESS(K47*2+2,3)))</f>
        <v>Писарева Екатерина</v>
      </c>
      <c r="I47" s="60"/>
      <c r="J47" s="60"/>
      <c r="K47" s="24">
        <v>6</v>
      </c>
      <c r="L47" s="27" t="s">
        <v>13</v>
      </c>
      <c r="M47" s="54"/>
    </row>
    <row r="48" spans="2:13" ht="30" customHeight="1" thickBot="1" x14ac:dyDescent="0.3">
      <c r="B48" s="24">
        <v>2</v>
      </c>
      <c r="C48" s="60" t="str">
        <f ca="1">IF(ISBLANK(INDIRECT(ADDRESS(B48*2+2,3))),"",INDIRECT(ADDRESS(B48*2+2,3)))</f>
        <v>Иванова Ольга</v>
      </c>
      <c r="D48" s="60"/>
      <c r="E48" s="61"/>
      <c r="F48" s="25">
        <v>9</v>
      </c>
      <c r="G48" s="26">
        <v>13</v>
      </c>
      <c r="H48" s="62" t="str">
        <f ca="1">IF(ISBLANK(INDIRECT(ADDRESS(K48*2+2,3))),"",INDIRECT(ADDRESS(K48*2+2,3)))</f>
        <v>Орлова Таисия</v>
      </c>
      <c r="I48" s="60"/>
      <c r="J48" s="60"/>
      <c r="K48" s="24">
        <v>5</v>
      </c>
      <c r="L48" s="27" t="s">
        <v>13</v>
      </c>
      <c r="M48" s="54"/>
    </row>
    <row r="49" spans="2:13" ht="30" customHeight="1" thickBot="1" x14ac:dyDescent="0.3">
      <c r="B49" s="24">
        <v>3</v>
      </c>
      <c r="C49" s="60" t="str">
        <f ca="1">IF(ISBLANK(INDIRECT(ADDRESS(B49*2+2,3))),"",INDIRECT(ADDRESS(B49*2+2,3)))</f>
        <v>Гедройц Ася</v>
      </c>
      <c r="D49" s="60"/>
      <c r="E49" s="61"/>
      <c r="F49" s="25">
        <v>13</v>
      </c>
      <c r="G49" s="26">
        <v>9</v>
      </c>
      <c r="H49" s="62" t="str">
        <f ca="1">IF(ISBLANK(INDIRECT(ADDRESS(K49*2+2,3))),"",INDIRECT(ADDRESS(K49*2+2,3)))</f>
        <v>Зимина Светлана</v>
      </c>
      <c r="I49" s="60"/>
      <c r="J49" s="60"/>
      <c r="K49" s="24">
        <v>4</v>
      </c>
      <c r="L49" s="27" t="s">
        <v>13</v>
      </c>
      <c r="M49" s="54"/>
    </row>
    <row r="50" spans="2:13" ht="30" customHeight="1" x14ac:dyDescent="0.25"/>
    <row r="51" spans="2:13" ht="30" customHeight="1" thickBot="1" x14ac:dyDescent="0.3">
      <c r="B51" s="63" t="s">
        <v>53</v>
      </c>
      <c r="C51" s="63"/>
      <c r="D51" s="63"/>
      <c r="E51" s="63"/>
      <c r="F51" s="63"/>
      <c r="G51" s="63"/>
      <c r="H51" s="63"/>
      <c r="I51" s="63"/>
      <c r="J51" s="63"/>
      <c r="K51" s="63"/>
    </row>
    <row r="52" spans="2:13" ht="30" customHeight="1" thickBot="1" x14ac:dyDescent="0.3">
      <c r="B52" s="24">
        <v>5</v>
      </c>
      <c r="C52" s="60" t="str">
        <f ca="1">IF(ISBLANK(INDIRECT(ADDRESS(B52*2+2,3))),"",INDIRECT(ADDRESS(B52*2+2,3)))</f>
        <v>Орлова Таисия</v>
      </c>
      <c r="D52" s="60"/>
      <c r="E52" s="61"/>
      <c r="F52" s="25">
        <v>13</v>
      </c>
      <c r="G52" s="26">
        <v>3</v>
      </c>
      <c r="H52" s="62" t="str">
        <f ca="1">IF(ISBLANK(INDIRECT(ADDRESS(K52*2+2,3))),"",INDIRECT(ADDRESS(K52*2+2,3)))</f>
        <v>Гедройц Ася</v>
      </c>
      <c r="I52" s="60"/>
      <c r="J52" s="60"/>
      <c r="K52" s="24">
        <v>3</v>
      </c>
      <c r="L52" s="27" t="s">
        <v>13</v>
      </c>
      <c r="M52" s="54"/>
    </row>
    <row r="53" spans="2:13" ht="30" customHeight="1" thickBot="1" x14ac:dyDescent="0.3">
      <c r="B53" s="24">
        <v>6</v>
      </c>
      <c r="C53" s="60" t="str">
        <f ca="1">IF(ISBLANK(INDIRECT(ADDRESS(B53*2+2,3))),"",INDIRECT(ADDRESS(B53*2+2,3)))</f>
        <v>Писарева Екатерина</v>
      </c>
      <c r="D53" s="60"/>
      <c r="E53" s="61"/>
      <c r="F53" s="25">
        <v>5</v>
      </c>
      <c r="G53" s="26">
        <v>13</v>
      </c>
      <c r="H53" s="62" t="str">
        <f ca="1">IF(ISBLANK(INDIRECT(ADDRESS(K53*2+2,3))),"",INDIRECT(ADDRESS(K53*2+2,3)))</f>
        <v>Иванова Ольга</v>
      </c>
      <c r="I53" s="60"/>
      <c r="J53" s="60"/>
      <c r="K53" s="24">
        <v>2</v>
      </c>
      <c r="L53" s="27" t="s">
        <v>13</v>
      </c>
      <c r="M53" s="54"/>
    </row>
    <row r="54" spans="2:13" ht="30" customHeight="1" thickBot="1" x14ac:dyDescent="0.3">
      <c r="B54" s="24">
        <v>7</v>
      </c>
      <c r="C54" s="60" t="str">
        <f ca="1">IF(ISBLANK(INDIRECT(ADDRESS(B54*2+2,3))),"",INDIRECT(ADDRESS(B54*2+2,3)))</f>
        <v>Пашина Аля</v>
      </c>
      <c r="D54" s="60"/>
      <c r="E54" s="61"/>
      <c r="F54" s="25">
        <v>2</v>
      </c>
      <c r="G54" s="26">
        <v>13</v>
      </c>
      <c r="H54" s="62" t="str">
        <f ca="1">IF(ISBLANK(INDIRECT(ADDRESS(K54*2+2,3))),"",INDIRECT(ADDRESS(K54*2+2,3)))</f>
        <v>Соколова Ольга</v>
      </c>
      <c r="I54" s="60"/>
      <c r="J54" s="60"/>
      <c r="K54" s="24">
        <v>1</v>
      </c>
      <c r="L54" s="27" t="s">
        <v>13</v>
      </c>
      <c r="M54" s="54"/>
    </row>
  </sheetData>
  <mergeCells count="79">
    <mergeCell ref="O4:O5"/>
    <mergeCell ref="B1:K1"/>
    <mergeCell ref="C3:E3"/>
    <mergeCell ref="B4:B5"/>
    <mergeCell ref="C4:E5"/>
    <mergeCell ref="M4:M5"/>
    <mergeCell ref="B6:B7"/>
    <mergeCell ref="C6:E7"/>
    <mergeCell ref="M6:M7"/>
    <mergeCell ref="O6:O7"/>
    <mergeCell ref="B8:B9"/>
    <mergeCell ref="C8:E9"/>
    <mergeCell ref="M8:M9"/>
    <mergeCell ref="O8:O9"/>
    <mergeCell ref="B10:B11"/>
    <mergeCell ref="C10:E11"/>
    <mergeCell ref="M10:M11"/>
    <mergeCell ref="O10:O11"/>
    <mergeCell ref="B12:B13"/>
    <mergeCell ref="C12:E13"/>
    <mergeCell ref="M12:M13"/>
    <mergeCell ref="O12:O13"/>
    <mergeCell ref="O14:O15"/>
    <mergeCell ref="B16:B17"/>
    <mergeCell ref="C16:E17"/>
    <mergeCell ref="M16:M17"/>
    <mergeCell ref="O16:O17"/>
    <mergeCell ref="C24:E24"/>
    <mergeCell ref="H24:J24"/>
    <mergeCell ref="B14:B15"/>
    <mergeCell ref="C14:E15"/>
    <mergeCell ref="M14:M15"/>
    <mergeCell ref="B21:K21"/>
    <mergeCell ref="C22:E22"/>
    <mergeCell ref="H22:J22"/>
    <mergeCell ref="C23:E23"/>
    <mergeCell ref="H23:J23"/>
    <mergeCell ref="C34:E34"/>
    <mergeCell ref="H34:J34"/>
    <mergeCell ref="B26:K26"/>
    <mergeCell ref="C27:E27"/>
    <mergeCell ref="H27:J27"/>
    <mergeCell ref="C28:E28"/>
    <mergeCell ref="H28:J28"/>
    <mergeCell ref="C29:E29"/>
    <mergeCell ref="H29:J29"/>
    <mergeCell ref="B31:K31"/>
    <mergeCell ref="C32:E32"/>
    <mergeCell ref="H32:J32"/>
    <mergeCell ref="C33:E33"/>
    <mergeCell ref="H33:J33"/>
    <mergeCell ref="C44:E44"/>
    <mergeCell ref="H44:J44"/>
    <mergeCell ref="B36:K36"/>
    <mergeCell ref="C37:E37"/>
    <mergeCell ref="H37:J37"/>
    <mergeCell ref="C38:E38"/>
    <mergeCell ref="H38:J38"/>
    <mergeCell ref="C39:E39"/>
    <mergeCell ref="H39:J39"/>
    <mergeCell ref="B41:K41"/>
    <mergeCell ref="C42:E42"/>
    <mergeCell ref="H42:J42"/>
    <mergeCell ref="C43:E43"/>
    <mergeCell ref="H43:J43"/>
    <mergeCell ref="C54:E54"/>
    <mergeCell ref="H54:J54"/>
    <mergeCell ref="B46:K46"/>
    <mergeCell ref="C47:E47"/>
    <mergeCell ref="H47:J47"/>
    <mergeCell ref="C48:E48"/>
    <mergeCell ref="H48:J48"/>
    <mergeCell ref="C49:E49"/>
    <mergeCell ref="H49:J49"/>
    <mergeCell ref="B51:K51"/>
    <mergeCell ref="C52:E52"/>
    <mergeCell ref="H52:J52"/>
    <mergeCell ref="C53:E53"/>
    <mergeCell ref="H53:J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Томск М1</vt:lpstr>
      <vt:lpstr>Питер М1</vt:lpstr>
      <vt:lpstr>Питер М2</vt:lpstr>
      <vt:lpstr>Питер М3</vt:lpstr>
      <vt:lpstr>Питер Ж1</vt:lpstr>
      <vt:lpstr>Питер Ж2</vt:lpstr>
      <vt:lpstr>Питер Ж3</vt:lpstr>
      <vt:lpstr>Приозерск Ж1</vt:lpstr>
      <vt:lpstr>Приозерск Ж2</vt:lpstr>
      <vt:lpstr>Приозерск М1</vt:lpstr>
      <vt:lpstr>Приозерск М2</vt:lpstr>
      <vt:lpstr>Приозерск М3</vt:lpstr>
      <vt:lpstr>Москва М1</vt:lpstr>
      <vt:lpstr>Москва М2</vt:lpstr>
      <vt:lpstr>Москва М3</vt:lpstr>
      <vt:lpstr>Москва М4</vt:lpstr>
      <vt:lpstr>Москва М5</vt:lpstr>
      <vt:lpstr>Москва Ж1</vt:lpstr>
      <vt:lpstr>Москва Ж2</vt:lpstr>
      <vt:lpstr>Москва Ж3</vt:lpstr>
      <vt:lpstr>Десногорск М1</vt:lpstr>
      <vt:lpstr>Десногорск Ж1</vt:lpstr>
      <vt:lpstr>Калуга М1</vt:lpstr>
      <vt:lpstr>Калуга М2</vt:lpstr>
      <vt:lpstr>Калуга Ж1</vt:lpstr>
      <vt:lpstr>Финалисты муж</vt:lpstr>
      <vt:lpstr>Финалисты жен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Тихонов Дмитрий</cp:lastModifiedBy>
  <cp:lastPrinted>2024-01-20T12:22:05Z</cp:lastPrinted>
  <dcterms:created xsi:type="dcterms:W3CDTF">2024-01-15T07:56:58Z</dcterms:created>
  <dcterms:modified xsi:type="dcterms:W3CDTF">2024-01-29T08:42:26Z</dcterms:modified>
</cp:coreProperties>
</file>